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bert\Desktop\Annual\"/>
    </mc:Choice>
  </mc:AlternateContent>
  <workbookProtection workbookAlgorithmName="SHA-512" workbookHashValue="b261/t6tLHVI6y1jSQXNHlKV/JR6/aqBdoLhtMw2esJU9p6F20bDRQGYbltshFdCVVSGSj9Qv7NTT7GqcIZHtQ==" workbookSaltValue="eE5TRL18XYF9jEArIMv/1A==" workbookSpinCount="100000" lockStructure="1"/>
  <bookViews>
    <workbookView xWindow="0" yWindow="0" windowWidth="20490" windowHeight="7650" tabRatio="935" activeTab="3"/>
  </bookViews>
  <sheets>
    <sheet name="Hyperlink" sheetId="90" r:id="rId1"/>
    <sheet name="Home" sheetId="42" r:id="rId2"/>
    <sheet name="Member Projection sheet " sheetId="80" r:id="rId3"/>
    <sheet name="BS WS" sheetId="41" r:id="rId4"/>
    <sheet name="Loan Aging WS" sheetId="25" r:id="rId5"/>
    <sheet name="Saving Details WS" sheetId="79" r:id="rId6"/>
    <sheet name="FA Details  WS" sheetId="74" r:id="rId7"/>
    <sheet name="Exp Summary" sheetId="44" r:id="rId8"/>
    <sheet name="Final BS" sheetId="32" r:id="rId9"/>
    <sheet name="Income Summary" sheetId="45" r:id="rId10"/>
    <sheet name="Final PL" sheetId="34" r:id="rId11"/>
    <sheet name="PL Appropiation" sheetId="89" r:id="rId12"/>
    <sheet name="Final PEARLS" sheetId="43" r:id="rId13"/>
    <sheet name="150.3.1.1" sheetId="46" r:id="rId14"/>
    <sheet name="150.3.1.2" sheetId="47" r:id="rId15"/>
    <sheet name="150.3.1.3" sheetId="48" r:id="rId16"/>
    <sheet name="150.3.1.4" sheetId="49" r:id="rId17"/>
    <sheet name="150.3.1.5" sheetId="50" r:id="rId18"/>
    <sheet name="150.3.1.6" sheetId="51" r:id="rId19"/>
    <sheet name="150.3.1.7" sheetId="52" r:id="rId20"/>
    <sheet name="150.3.1.8" sheetId="53" r:id="rId21"/>
    <sheet name="150.3.1.9" sheetId="54" r:id="rId22"/>
    <sheet name="150.3.1.10" sheetId="55" r:id="rId23"/>
    <sheet name="150.3.1.11" sheetId="56" r:id="rId24"/>
    <sheet name="150.3.1.12" sheetId="57" r:id="rId25"/>
    <sheet name="150.3.1.13" sheetId="58" r:id="rId26"/>
    <sheet name="150.3.1.14" sheetId="59" r:id="rId27"/>
    <sheet name="150.3.1.15" sheetId="60" r:id="rId28"/>
    <sheet name="150.3.1.16" sheetId="61" r:id="rId29"/>
    <sheet name="150.3.1.17" sheetId="62" r:id="rId30"/>
    <sheet name="150.3.1.18" sheetId="63" r:id="rId31"/>
    <sheet name="150.3.1.19" sheetId="64" r:id="rId32"/>
    <sheet name="150.3.1.20" sheetId="65" r:id="rId33"/>
    <sheet name="150.3.1.21" sheetId="66" r:id="rId34"/>
    <sheet name="150.3.1.22" sheetId="67" r:id="rId35"/>
    <sheet name="150.3.1.23" sheetId="68" r:id="rId36"/>
    <sheet name="150.3.1.24" sheetId="69" r:id="rId37"/>
    <sheet name="150.3.1.25" sheetId="70" r:id="rId38"/>
    <sheet name="150.3.1.26" sheetId="71" r:id="rId39"/>
    <sheet name="150.3.1.27" sheetId="72" r:id="rId40"/>
    <sheet name="150.3.1.28" sheetId="73" r:id="rId41"/>
    <sheet name="150.3.1.29" sheetId="75" state="hidden" r:id="rId42"/>
    <sheet name="150.3.1.30" sheetId="76" r:id="rId43"/>
    <sheet name="150.3.1.31" sheetId="77" r:id="rId44"/>
    <sheet name="150.3.1.32" sheetId="78" r:id="rId45"/>
    <sheet name="150.3.2.1" sheetId="81" r:id="rId46"/>
    <sheet name="150.3.2.2" sheetId="82" r:id="rId47"/>
    <sheet name="150.3.3" sheetId="83" r:id="rId48"/>
    <sheet name="160.1" sheetId="84" r:id="rId49"/>
    <sheet name="160.3" sheetId="85" r:id="rId50"/>
    <sheet name="160.4" sheetId="86" r:id="rId51"/>
    <sheet name="160.5" sheetId="87" r:id="rId52"/>
    <sheet name="160.6" sheetId="88" r:id="rId53"/>
  </sheets>
  <definedNames>
    <definedName name="_xlnm.Print_Area" localSheetId="10">'Final PL'!$A$1:$C$27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47" l="1"/>
  <c r="C8" i="41"/>
  <c r="A1" i="85" l="1"/>
  <c r="K8" i="81"/>
  <c r="M6" i="81"/>
  <c r="M4" i="81"/>
  <c r="M5" i="81"/>
  <c r="M3" i="81"/>
  <c r="L3" i="81"/>
  <c r="L5" i="81"/>
  <c r="L4" i="81"/>
  <c r="J6" i="81"/>
  <c r="A1" i="60"/>
  <c r="B4" i="25" l="1"/>
  <c r="B14" i="32" l="1"/>
  <c r="H26" i="43" l="1"/>
  <c r="E15" i="41"/>
  <c r="C13" i="32" s="1"/>
  <c r="E14" i="41"/>
  <c r="E13" i="41"/>
  <c r="C12" i="32" s="1"/>
  <c r="E10" i="41"/>
  <c r="C9" i="32" s="1"/>
  <c r="C27" i="32" s="1"/>
  <c r="E9" i="41"/>
  <c r="E8" i="41"/>
  <c r="C8" i="32" s="1"/>
  <c r="E7" i="41"/>
  <c r="C7" i="32" s="1"/>
  <c r="C30" i="32" s="1"/>
  <c r="E18" i="41"/>
  <c r="E17" i="41"/>
  <c r="E16" i="41"/>
  <c r="C14" i="32" s="1"/>
  <c r="D5" i="89" l="1"/>
  <c r="D4" i="89"/>
  <c r="D6" i="89" l="1"/>
  <c r="D7" i="89"/>
  <c r="B22" i="32"/>
  <c r="D8" i="89" l="1"/>
  <c r="D13" i="89"/>
  <c r="D9" i="89"/>
  <c r="D10" i="89"/>
  <c r="D14" i="89"/>
  <c r="D11" i="89"/>
  <c r="D15" i="89"/>
  <c r="D12" i="89"/>
  <c r="D16" i="89"/>
  <c r="J15" i="41"/>
  <c r="B19" i="41"/>
  <c r="C17" i="41" s="1"/>
  <c r="D17" i="89" l="1"/>
  <c r="E3" i="60"/>
  <c r="E4" i="60"/>
  <c r="E5" i="60"/>
  <c r="E6" i="60"/>
  <c r="E7" i="60"/>
  <c r="C2" i="56"/>
  <c r="D2" i="56"/>
  <c r="B2" i="56"/>
  <c r="E2" i="89"/>
  <c r="B13" i="32" l="1"/>
  <c r="B12" i="32"/>
  <c r="B29" i="41" l="1"/>
  <c r="C27" i="41" s="1"/>
  <c r="D5" i="74" l="1"/>
  <c r="C4" i="25" l="1"/>
  <c r="C6" i="25"/>
  <c r="C8" i="88"/>
  <c r="B8" i="88"/>
  <c r="C1" i="88"/>
  <c r="B1" i="88"/>
  <c r="C8" i="87"/>
  <c r="B8" i="87"/>
  <c r="C1" i="87"/>
  <c r="B1" i="87"/>
  <c r="C10" i="86"/>
  <c r="B10" i="86"/>
  <c r="C1" i="86"/>
  <c r="B1" i="86"/>
  <c r="C7" i="81"/>
  <c r="B7" i="81"/>
  <c r="C1" i="81"/>
  <c r="B1" i="81"/>
  <c r="C5" i="76"/>
  <c r="B5" i="76"/>
  <c r="C1" i="76"/>
  <c r="B1" i="76"/>
  <c r="D8" i="73"/>
  <c r="C8" i="73"/>
  <c r="D1" i="73"/>
  <c r="C1" i="73"/>
  <c r="C6" i="52"/>
  <c r="B6" i="52"/>
  <c r="B1" i="52"/>
  <c r="C1" i="52"/>
  <c r="C8" i="51"/>
  <c r="B8" i="51"/>
  <c r="B1" i="51"/>
  <c r="C1" i="51"/>
  <c r="C36" i="46"/>
  <c r="B6" i="47"/>
  <c r="B6" i="48"/>
  <c r="B6" i="49"/>
  <c r="C10" i="50"/>
  <c r="B10" i="50"/>
  <c r="C1" i="50"/>
  <c r="B1" i="50"/>
  <c r="C1" i="49"/>
  <c r="B1" i="49"/>
  <c r="C1" i="48"/>
  <c r="B1" i="48"/>
  <c r="C1" i="47"/>
  <c r="B1" i="47"/>
  <c r="D24" i="46"/>
  <c r="C24" i="46"/>
  <c r="D1" i="50"/>
  <c r="C6" i="49"/>
  <c r="C6" i="48"/>
  <c r="C6" i="47"/>
  <c r="D36" i="46"/>
  <c r="C2" i="85" l="1"/>
  <c r="E2" i="86" s="1"/>
  <c r="E2" i="87" s="1"/>
  <c r="E2" i="88" s="1"/>
  <c r="D2" i="85"/>
  <c r="F2" i="86" s="1"/>
  <c r="F2" i="87" s="1"/>
  <c r="F2" i="88" s="1"/>
  <c r="B2" i="85"/>
  <c r="D2" i="86" s="1"/>
  <c r="D2" i="87" s="1"/>
  <c r="D2" i="88" s="1"/>
  <c r="A1" i="86"/>
  <c r="A1" i="87" s="1"/>
  <c r="A1" i="88" s="1"/>
  <c r="E2" i="48"/>
  <c r="E2" i="49" s="1"/>
  <c r="E2" i="50" s="1"/>
  <c r="E2" i="51" s="1"/>
  <c r="E2" i="52" s="1"/>
  <c r="C2" i="53" s="1"/>
  <c r="C2" i="54" s="1"/>
  <c r="C2" i="57" s="1"/>
  <c r="C2" i="59" s="1"/>
  <c r="D2" i="60" s="1"/>
  <c r="C2" i="61" s="1"/>
  <c r="C2" i="62" s="1"/>
  <c r="C2" i="63" s="1"/>
  <c r="C2" i="64" s="1"/>
  <c r="C2" i="65" s="1"/>
  <c r="C2" i="66" s="1"/>
  <c r="C2" i="67" s="1"/>
  <c r="C2" i="68" s="1"/>
  <c r="C2" i="69" s="1"/>
  <c r="C2" i="70" s="1"/>
  <c r="C2" i="71" s="1"/>
  <c r="C2" i="72" s="1"/>
  <c r="C2" i="75" s="1"/>
  <c r="E2" i="76" s="1"/>
  <c r="C2" i="77" s="1"/>
  <c r="C2" i="78" s="1"/>
  <c r="E2" i="81" s="1"/>
  <c r="C2" i="82" s="1"/>
  <c r="C2" i="83" s="1"/>
  <c r="F2" i="48"/>
  <c r="F2" i="49" s="1"/>
  <c r="F2" i="50" s="1"/>
  <c r="F2" i="51" s="1"/>
  <c r="F2" i="52" s="1"/>
  <c r="D2" i="53" s="1"/>
  <c r="D2" i="54" s="1"/>
  <c r="D2" i="57" s="1"/>
  <c r="D2" i="59" s="1"/>
  <c r="E2" i="60" s="1"/>
  <c r="D2" i="61" s="1"/>
  <c r="D2" i="62" s="1"/>
  <c r="D2" i="63" s="1"/>
  <c r="D2" i="64" s="1"/>
  <c r="D2" i="65" s="1"/>
  <c r="D2" i="66" s="1"/>
  <c r="D2" i="67" s="1"/>
  <c r="D2" i="68" s="1"/>
  <c r="D2" i="69" s="1"/>
  <c r="D2" i="70" s="1"/>
  <c r="D2" i="71" s="1"/>
  <c r="D2" i="72" s="1"/>
  <c r="D2" i="75" s="1"/>
  <c r="F2" i="76" s="1"/>
  <c r="D2" i="77" s="1"/>
  <c r="D2" i="78" s="1"/>
  <c r="F2" i="81" s="1"/>
  <c r="D2" i="82" s="1"/>
  <c r="D2" i="83" s="1"/>
  <c r="D2" i="48"/>
  <c r="D2" i="49" s="1"/>
  <c r="A1" i="48"/>
  <c r="A1" i="49" s="1"/>
  <c r="A1" i="50" s="1"/>
  <c r="A1" i="51" s="1"/>
  <c r="A1" i="52" s="1"/>
  <c r="A1" i="53" s="1"/>
  <c r="A1" i="54" s="1"/>
  <c r="A1" i="55" s="1"/>
  <c r="A1" i="56" s="1"/>
  <c r="A1" i="57" s="1"/>
  <c r="A1" i="59" s="1"/>
  <c r="A1" i="61" s="1"/>
  <c r="A1" i="62" s="1"/>
  <c r="A1" i="63" l="1"/>
  <c r="A1" i="64" s="1"/>
  <c r="A1" i="65" s="1"/>
  <c r="A1" i="66" s="1"/>
  <c r="A1" i="67" s="1"/>
  <c r="A1" i="68" s="1"/>
  <c r="A1" i="69" s="1"/>
  <c r="A1" i="70" s="1"/>
  <c r="A1" i="71" s="1"/>
  <c r="A1" i="72" s="1"/>
  <c r="A1" i="75" s="1"/>
  <c r="A1" i="76" s="1"/>
  <c r="A1" i="77" s="1"/>
  <c r="A1" i="78" s="1"/>
  <c r="A1" i="81" s="1"/>
  <c r="A1" i="82" s="1"/>
  <c r="A1" i="83" s="1"/>
  <c r="D2" i="50"/>
  <c r="D2" i="51" s="1"/>
  <c r="D2" i="52" s="1"/>
  <c r="B2" i="53" s="1"/>
  <c r="B2" i="54" s="1"/>
  <c r="B2" i="57" s="1"/>
  <c r="B2" i="59" s="1"/>
  <c r="C2" i="60" s="1"/>
  <c r="B2" i="61" s="1"/>
  <c r="B2" i="62" s="1"/>
  <c r="B2" i="63" s="1"/>
  <c r="B2" i="64" s="1"/>
  <c r="B2" i="65" s="1"/>
  <c r="B2" i="66" s="1"/>
  <c r="B2" i="67" s="1"/>
  <c r="B2" i="68" s="1"/>
  <c r="B2" i="69" s="1"/>
  <c r="B2" i="70" s="1"/>
  <c r="B2" i="71" s="1"/>
  <c r="B2" i="72" s="1"/>
  <c r="B2" i="75" s="1"/>
  <c r="D2" i="76" s="1"/>
  <c r="B2" i="77" s="1"/>
  <c r="B2" i="78" s="1"/>
  <c r="D2" i="81" s="1"/>
  <c r="B2" i="82" s="1"/>
  <c r="B2" i="83" s="1"/>
  <c r="F10" i="81" l="1"/>
  <c r="B10" i="63"/>
  <c r="F7" i="58"/>
  <c r="D6" i="55"/>
  <c r="C3" i="83"/>
  <c r="K4" i="25"/>
  <c r="B8" i="32"/>
  <c r="A2" i="41"/>
  <c r="A4" i="32"/>
  <c r="A4" i="41"/>
  <c r="F25" i="43"/>
  <c r="A1" i="41"/>
  <c r="D4" i="69"/>
  <c r="D4" i="68"/>
  <c r="D5" i="68"/>
  <c r="D6" i="68"/>
  <c r="D4" i="66"/>
  <c r="D5" i="66"/>
  <c r="D6" i="66"/>
  <c r="F4" i="49"/>
  <c r="F5" i="49"/>
  <c r="A1" i="43"/>
  <c r="F3" i="43"/>
  <c r="D2" i="89" l="1"/>
  <c r="B1" i="34"/>
  <c r="B2" i="34"/>
  <c r="B4" i="34"/>
  <c r="F7" i="88"/>
  <c r="F6" i="88"/>
  <c r="F4" i="88"/>
  <c r="F7" i="87"/>
  <c r="F6" i="87"/>
  <c r="F4" i="87"/>
  <c r="F4" i="86"/>
  <c r="F6" i="86"/>
  <c r="F7" i="86"/>
  <c r="F8" i="86"/>
  <c r="F9" i="86"/>
  <c r="F3" i="86"/>
  <c r="C2" i="45"/>
  <c r="C5" i="34"/>
  <c r="D3" i="83"/>
  <c r="D4" i="83" s="1"/>
  <c r="C37" i="44" s="1"/>
  <c r="B1" i="83"/>
  <c r="D1" i="88" s="1"/>
  <c r="B1" i="82"/>
  <c r="D1" i="81"/>
  <c r="C4" i="79"/>
  <c r="D11" i="79"/>
  <c r="D3" i="80"/>
  <c r="F2" i="80"/>
  <c r="D2" i="80"/>
  <c r="B2" i="80"/>
  <c r="C3" i="79"/>
  <c r="D6" i="61"/>
  <c r="D7" i="61"/>
  <c r="D4" i="61"/>
  <c r="D5" i="61"/>
  <c r="D6" i="57"/>
  <c r="D7" i="57"/>
  <c r="D4" i="57"/>
  <c r="D5" i="57"/>
  <c r="D5" i="67"/>
  <c r="D4" i="67"/>
  <c r="D4" i="78"/>
  <c r="D5" i="78"/>
  <c r="D6" i="78"/>
  <c r="D3" i="78"/>
  <c r="B1" i="78"/>
  <c r="D4" i="77"/>
  <c r="D3" i="77"/>
  <c r="B1" i="77"/>
  <c r="D4" i="65"/>
  <c r="D5" i="65"/>
  <c r="D6" i="65"/>
  <c r="D7" i="65"/>
  <c r="D8" i="65"/>
  <c r="D9" i="65"/>
  <c r="F7" i="50"/>
  <c r="F8" i="50"/>
  <c r="F4" i="76"/>
  <c r="F3" i="76"/>
  <c r="D1" i="76"/>
  <c r="D4" i="75"/>
  <c r="D3" i="75"/>
  <c r="B1" i="75"/>
  <c r="I4" i="73"/>
  <c r="I3" i="73"/>
  <c r="J3" i="73"/>
  <c r="H3" i="73"/>
  <c r="C5" i="74"/>
  <c r="H4" i="73" s="1"/>
  <c r="H1" i="73"/>
  <c r="F7" i="73"/>
  <c r="G7" i="73" s="1"/>
  <c r="F6" i="73"/>
  <c r="G6" i="73" s="1"/>
  <c r="F5" i="73"/>
  <c r="G5" i="73" s="1"/>
  <c r="E8" i="73"/>
  <c r="F4" i="73"/>
  <c r="G4" i="73" s="1"/>
  <c r="F3" i="73"/>
  <c r="G3" i="73" s="1"/>
  <c r="C1" i="74"/>
  <c r="D33" i="74"/>
  <c r="I7" i="73" s="1"/>
  <c r="C33" i="74"/>
  <c r="H7" i="73" s="1"/>
  <c r="E33" i="74"/>
  <c r="J7" i="73" s="1"/>
  <c r="E28" i="74"/>
  <c r="J6" i="73" s="1"/>
  <c r="D28" i="74"/>
  <c r="I6" i="73" s="1"/>
  <c r="C28" i="74"/>
  <c r="H6" i="73" s="1"/>
  <c r="E23" i="74"/>
  <c r="J5" i="73" s="1"/>
  <c r="D23" i="74"/>
  <c r="I5" i="73" s="1"/>
  <c r="C23" i="74"/>
  <c r="H5" i="73" s="1"/>
  <c r="E5" i="74"/>
  <c r="J4" i="73" s="1"/>
  <c r="D4" i="72"/>
  <c r="D5" i="72"/>
  <c r="D6" i="72"/>
  <c r="D7" i="72"/>
  <c r="D3" i="72"/>
  <c r="B1" i="72"/>
  <c r="D4" i="71"/>
  <c r="D5" i="71"/>
  <c r="D6" i="71"/>
  <c r="D3" i="71"/>
  <c r="D7" i="70"/>
  <c r="D8" i="70"/>
  <c r="D9" i="70"/>
  <c r="D4" i="70"/>
  <c r="D5" i="70"/>
  <c r="D6" i="70"/>
  <c r="D3" i="70"/>
  <c r="B1" i="71"/>
  <c r="B1" i="70"/>
  <c r="D3" i="69"/>
  <c r="D5" i="69" s="1"/>
  <c r="C26" i="44" s="1"/>
  <c r="B1" i="69"/>
  <c r="D3" i="68"/>
  <c r="D7" i="68" s="1"/>
  <c r="C25" i="44" s="1"/>
  <c r="B1" i="68"/>
  <c r="D3" i="67"/>
  <c r="B1" i="67"/>
  <c r="D3" i="66"/>
  <c r="D7" i="66" s="1"/>
  <c r="C23" i="44" s="1"/>
  <c r="B1" i="66"/>
  <c r="D3" i="65"/>
  <c r="B1" i="65"/>
  <c r="D4" i="64"/>
  <c r="D3" i="64"/>
  <c r="D5" i="64" s="1"/>
  <c r="C21" i="44" s="1"/>
  <c r="B1" i="64"/>
  <c r="D5" i="63"/>
  <c r="D6" i="63"/>
  <c r="D7" i="63"/>
  <c r="D8" i="63"/>
  <c r="D9" i="63"/>
  <c r="D10" i="63"/>
  <c r="D11" i="63"/>
  <c r="B1" i="63"/>
  <c r="D4" i="62"/>
  <c r="D5" i="62"/>
  <c r="D6" i="62"/>
  <c r="D7" i="62"/>
  <c r="D3" i="62"/>
  <c r="B1" i="62"/>
  <c r="D3" i="61"/>
  <c r="B1" i="61"/>
  <c r="C1" i="60"/>
  <c r="E29" i="60"/>
  <c r="E28" i="60"/>
  <c r="E27" i="60"/>
  <c r="E26" i="60"/>
  <c r="E25" i="60"/>
  <c r="E24" i="60"/>
  <c r="E23" i="60"/>
  <c r="E22" i="60"/>
  <c r="E21" i="60"/>
  <c r="E20" i="60"/>
  <c r="E19" i="60"/>
  <c r="E18" i="60"/>
  <c r="E17" i="60"/>
  <c r="E16" i="60"/>
  <c r="E15" i="60"/>
  <c r="E14" i="60"/>
  <c r="E13" i="60"/>
  <c r="E12" i="60"/>
  <c r="E11" i="60"/>
  <c r="E10" i="60"/>
  <c r="E9" i="60"/>
  <c r="E8" i="60"/>
  <c r="B1" i="59"/>
  <c r="D11" i="59"/>
  <c r="D10" i="59"/>
  <c r="D9" i="59"/>
  <c r="D8" i="59"/>
  <c r="D7" i="59"/>
  <c r="D6" i="59"/>
  <c r="D5" i="59"/>
  <c r="D4" i="59"/>
  <c r="C2" i="58"/>
  <c r="F8" i="58"/>
  <c r="F6" i="58"/>
  <c r="F5" i="58"/>
  <c r="F4" i="58"/>
  <c r="F5" i="76" l="1"/>
  <c r="C32" i="44" s="1"/>
  <c r="D8" i="72"/>
  <c r="C29" i="44" s="1"/>
  <c r="B10" i="79"/>
  <c r="D5" i="77"/>
  <c r="C33" i="44" s="1"/>
  <c r="D7" i="78"/>
  <c r="C34" i="44" s="1"/>
  <c r="D5" i="75"/>
  <c r="C31" i="44" s="1"/>
  <c r="D7" i="71"/>
  <c r="C28" i="44" s="1"/>
  <c r="D10" i="65"/>
  <c r="C22" i="44" s="1"/>
  <c r="E30" i="60"/>
  <c r="C17" i="44" s="1"/>
  <c r="K3" i="73"/>
  <c r="D10" i="70"/>
  <c r="C27" i="44" s="1"/>
  <c r="C14" i="41"/>
  <c r="C7" i="41"/>
  <c r="D6" i="67"/>
  <c r="C24" i="44" s="1"/>
  <c r="C14" i="34"/>
  <c r="G8" i="73"/>
  <c r="K4" i="73"/>
  <c r="C9" i="41"/>
  <c r="F3" i="80"/>
  <c r="F4" i="80" s="1"/>
  <c r="G30" i="43"/>
  <c r="B1" i="84"/>
  <c r="B1" i="85"/>
  <c r="D1" i="86"/>
  <c r="D1" i="87"/>
  <c r="B8" i="79"/>
  <c r="B9" i="79"/>
  <c r="K5" i="73"/>
  <c r="H8" i="73"/>
  <c r="J8" i="73"/>
  <c r="I8" i="73"/>
  <c r="B11" i="79"/>
  <c r="B3" i="59"/>
  <c r="D3" i="59" s="1"/>
  <c r="D12" i="59" s="1"/>
  <c r="C16" i="44" s="1"/>
  <c r="D4" i="80"/>
  <c r="D8" i="61"/>
  <c r="C18" i="44" s="1"/>
  <c r="K6" i="73"/>
  <c r="K7" i="73"/>
  <c r="L4" i="73"/>
  <c r="L5" i="73"/>
  <c r="L6" i="73"/>
  <c r="L7" i="73"/>
  <c r="L3" i="73"/>
  <c r="D8" i="62"/>
  <c r="C19" i="44" s="1"/>
  <c r="F9" i="58"/>
  <c r="C15" i="44" s="1"/>
  <c r="B3" i="63" l="1"/>
  <c r="D3" i="63" s="1"/>
  <c r="M4" i="73"/>
  <c r="M6" i="73"/>
  <c r="F30" i="43"/>
  <c r="H30" i="43" s="1"/>
  <c r="M5" i="73"/>
  <c r="L8" i="73"/>
  <c r="C30" i="44" s="1"/>
  <c r="C12" i="34" s="1"/>
  <c r="K8" i="73"/>
  <c r="M7" i="73"/>
  <c r="M3" i="73"/>
  <c r="D4" i="63" l="1"/>
  <c r="M8" i="73"/>
  <c r="G27" i="41" s="1"/>
  <c r="D3" i="88"/>
  <c r="D5" i="88" s="1"/>
  <c r="F5" i="88" s="1"/>
  <c r="F3" i="88" l="1"/>
  <c r="F8" i="88" s="1"/>
  <c r="C8" i="45" s="1"/>
  <c r="D22" i="32"/>
  <c r="D12" i="63"/>
  <c r="C20" i="44" s="1"/>
  <c r="D3" i="57" l="1"/>
  <c r="B1" i="57"/>
  <c r="D5" i="56"/>
  <c r="D4" i="56"/>
  <c r="D3" i="56"/>
  <c r="B1" i="56"/>
  <c r="D5" i="55"/>
  <c r="D4" i="55"/>
  <c r="D3" i="55"/>
  <c r="B1" i="55"/>
  <c r="D5" i="54"/>
  <c r="D4" i="54"/>
  <c r="D3" i="54"/>
  <c r="B1" i="54"/>
  <c r="D5" i="53"/>
  <c r="D4" i="53"/>
  <c r="D3" i="53"/>
  <c r="B1" i="53"/>
  <c r="F5" i="52"/>
  <c r="F4" i="52"/>
  <c r="F3" i="52"/>
  <c r="D1" i="52"/>
  <c r="F7" i="51"/>
  <c r="F6" i="51"/>
  <c r="F5" i="51"/>
  <c r="F4" i="51"/>
  <c r="F3" i="51"/>
  <c r="D1" i="51"/>
  <c r="F4" i="50"/>
  <c r="F5" i="50"/>
  <c r="F6" i="50"/>
  <c r="F9" i="50"/>
  <c r="F3" i="50"/>
  <c r="F3" i="49"/>
  <c r="D1" i="49"/>
  <c r="F3" i="48"/>
  <c r="F6" i="48" s="1"/>
  <c r="C5" i="44" s="1"/>
  <c r="D1" i="48"/>
  <c r="D1" i="47"/>
  <c r="F5" i="47"/>
  <c r="F4" i="47"/>
  <c r="C2" i="44"/>
  <c r="F6" i="52" l="1"/>
  <c r="C9" i="44" s="1"/>
  <c r="D7" i="56"/>
  <c r="C13" i="44" s="1"/>
  <c r="D7" i="55"/>
  <c r="C12" i="44" s="1"/>
  <c r="D6" i="54"/>
  <c r="C11" i="44" s="1"/>
  <c r="D6" i="53"/>
  <c r="C10" i="44" s="1"/>
  <c r="F8" i="51"/>
  <c r="C8" i="44" s="1"/>
  <c r="F6" i="49"/>
  <c r="C6" i="44" s="1"/>
  <c r="F6" i="47"/>
  <c r="C4" i="44" s="1"/>
  <c r="D8" i="57"/>
  <c r="C14" i="44" s="1"/>
  <c r="F10" i="50"/>
  <c r="C7" i="44" s="1"/>
  <c r="F3" i="46" l="1"/>
  <c r="A16" i="46"/>
  <c r="A17" i="46"/>
  <c r="A18" i="46"/>
  <c r="A19" i="46"/>
  <c r="A20" i="46"/>
  <c r="A21" i="46"/>
  <c r="A15" i="46"/>
  <c r="H3" i="46"/>
  <c r="I3" i="46" s="1"/>
  <c r="D1" i="46"/>
  <c r="D13" i="46" s="1"/>
  <c r="E24" i="46"/>
  <c r="D21" i="46"/>
  <c r="F21" i="46" s="1"/>
  <c r="D20" i="46"/>
  <c r="F20" i="46" s="1"/>
  <c r="D19" i="46"/>
  <c r="F19" i="46" s="1"/>
  <c r="D18" i="46"/>
  <c r="F18" i="46" s="1"/>
  <c r="D17" i="46"/>
  <c r="F17" i="46" s="1"/>
  <c r="D16" i="46"/>
  <c r="F16" i="46" s="1"/>
  <c r="D15" i="46"/>
  <c r="F15" i="46" s="1"/>
  <c r="D10" i="46"/>
  <c r="E28" i="46" s="1"/>
  <c r="E29" i="46" s="1"/>
  <c r="E30" i="46" s="1"/>
  <c r="E33" i="46" s="1"/>
  <c r="F9" i="46"/>
  <c r="F8" i="46"/>
  <c r="H8" i="46" s="1"/>
  <c r="I8" i="46" s="1"/>
  <c r="F7" i="46"/>
  <c r="H7" i="46" s="1"/>
  <c r="I7" i="46" s="1"/>
  <c r="F6" i="46"/>
  <c r="H6" i="46" s="1"/>
  <c r="I6" i="46" s="1"/>
  <c r="F5" i="46"/>
  <c r="H5" i="46" s="1"/>
  <c r="I5" i="46" s="1"/>
  <c r="F4" i="46"/>
  <c r="H4" i="46" s="1"/>
  <c r="I4" i="46" s="1"/>
  <c r="G28" i="46" l="1"/>
  <c r="D22" i="46"/>
  <c r="F10" i="46"/>
  <c r="F22" i="46"/>
  <c r="H9" i="46"/>
  <c r="I9" i="46" s="1"/>
  <c r="F27" i="46" l="1"/>
  <c r="G27" i="46" s="1"/>
  <c r="G33" i="46"/>
  <c r="H10" i="46"/>
  <c r="I10" i="46"/>
  <c r="F35" i="46" s="1"/>
  <c r="G35" i="46" s="1"/>
  <c r="F26" i="46" l="1"/>
  <c r="G26" i="46" l="1"/>
  <c r="F32" i="46"/>
  <c r="G32" i="46" s="1"/>
  <c r="F31" i="46"/>
  <c r="G31" i="46" s="1"/>
  <c r="F34" i="46"/>
  <c r="G34" i="46" s="1"/>
  <c r="B18" i="32"/>
  <c r="B19" i="32"/>
  <c r="B20" i="32"/>
  <c r="B21" i="32"/>
  <c r="B23" i="32"/>
  <c r="B17" i="32"/>
  <c r="B9" i="32"/>
  <c r="B10" i="32"/>
  <c r="B11" i="32"/>
  <c r="B7" i="32"/>
  <c r="A2" i="32"/>
  <c r="A1" i="32"/>
  <c r="D5" i="32"/>
  <c r="C5" i="32"/>
  <c r="B5" i="32"/>
  <c r="G5" i="41"/>
  <c r="E5" i="41"/>
  <c r="B5" i="41"/>
  <c r="C11" i="41"/>
  <c r="A4" i="25"/>
  <c r="K5" i="25"/>
  <c r="C5" i="25"/>
  <c r="K6" i="25"/>
  <c r="A6" i="25"/>
  <c r="A5" i="25"/>
  <c r="B15" i="32" l="1"/>
  <c r="C24" i="41"/>
  <c r="G36" i="46"/>
  <c r="C3" i="44" s="1"/>
  <c r="B24" i="32"/>
  <c r="B26" i="32" s="1"/>
  <c r="C23" i="41"/>
  <c r="C26" i="41"/>
  <c r="C22" i="41"/>
  <c r="C25" i="41"/>
  <c r="C28" i="41"/>
  <c r="C10" i="41"/>
  <c r="C15" i="41"/>
  <c r="C13" i="41"/>
  <c r="C12" i="41"/>
  <c r="B20" i="41"/>
  <c r="E20" i="41" s="1"/>
  <c r="C16" i="41"/>
  <c r="E25" i="41" l="1"/>
  <c r="C20" i="32" s="1"/>
  <c r="C34" i="32" s="1"/>
  <c r="E28" i="41"/>
  <c r="C23" i="32" s="1"/>
  <c r="E27" i="41"/>
  <c r="C22" i="32" s="1"/>
  <c r="E24" i="41"/>
  <c r="C19" i="32" s="1"/>
  <c r="E23" i="41"/>
  <c r="C18" i="32" s="1"/>
  <c r="E22" i="41"/>
  <c r="C17" i="32" s="1"/>
  <c r="G20" i="41"/>
  <c r="F27" i="41" s="1"/>
  <c r="F26" i="41" s="1"/>
  <c r="E12" i="41"/>
  <c r="C11" i="32" s="1"/>
  <c r="E11" i="41"/>
  <c r="C10" i="32" l="1"/>
  <c r="E19" i="41"/>
  <c r="B5" i="25"/>
  <c r="D5" i="25" s="1"/>
  <c r="G13" i="43"/>
  <c r="G9" i="43"/>
  <c r="G10" i="43"/>
  <c r="G14" i="43"/>
  <c r="G11" i="43"/>
  <c r="G15" i="43"/>
  <c r="G12" i="43"/>
  <c r="G16" i="43"/>
  <c r="G7" i="41"/>
  <c r="E26" i="41"/>
  <c r="C21" i="32" s="1"/>
  <c r="G22" i="41"/>
  <c r="D17" i="32" s="1"/>
  <c r="F29" i="43" s="1"/>
  <c r="G13" i="41"/>
  <c r="D12" i="32" s="1"/>
  <c r="G23" i="41"/>
  <c r="D18" i="32" s="1"/>
  <c r="G12" i="41"/>
  <c r="D11" i="32" s="1"/>
  <c r="G25" i="41"/>
  <c r="H25" i="41" s="1"/>
  <c r="G10" i="41"/>
  <c r="G24" i="41"/>
  <c r="D19" i="32" s="1"/>
  <c r="G11" i="41"/>
  <c r="D10" i="32" s="1"/>
  <c r="F13" i="43" s="1"/>
  <c r="G28" i="41"/>
  <c r="D23" i="32" s="1"/>
  <c r="D7" i="32" l="1"/>
  <c r="E4" i="79"/>
  <c r="C24" i="32"/>
  <c r="C32" i="32" s="1"/>
  <c r="E29" i="41"/>
  <c r="C15" i="32"/>
  <c r="G26" i="41"/>
  <c r="G29" i="41" s="1"/>
  <c r="F5" i="25"/>
  <c r="D5" i="86"/>
  <c r="F5" i="86" s="1"/>
  <c r="H13" i="43"/>
  <c r="C3" i="82"/>
  <c r="D3" i="82" s="1"/>
  <c r="D4" i="82" s="1"/>
  <c r="F11" i="43"/>
  <c r="H11" i="43" s="1"/>
  <c r="G22" i="43"/>
  <c r="G24" i="43"/>
  <c r="G20" i="43"/>
  <c r="D20" i="32"/>
  <c r="D34" i="32" s="1"/>
  <c r="D35" i="32" s="1"/>
  <c r="B6" i="25"/>
  <c r="B3" i="84"/>
  <c r="D3" i="84" s="1"/>
  <c r="D4" i="84" s="1"/>
  <c r="C3" i="45" s="1"/>
  <c r="F10" i="43"/>
  <c r="H10" i="43" s="1"/>
  <c r="G21" i="43"/>
  <c r="D9" i="32"/>
  <c r="D27" i="32" s="1"/>
  <c r="D28" i="32" s="1"/>
  <c r="G8" i="43"/>
  <c r="F14" i="43" l="1"/>
  <c r="H14" i="43" s="1"/>
  <c r="D30" i="32"/>
  <c r="D31" i="32" s="1"/>
  <c r="G25" i="43"/>
  <c r="H25" i="43" s="1"/>
  <c r="E9" i="79"/>
  <c r="E4" i="81" s="1"/>
  <c r="E11" i="79"/>
  <c r="E6" i="81" s="1"/>
  <c r="E10" i="79"/>
  <c r="E5" i="81" s="1"/>
  <c r="E8" i="79"/>
  <c r="H29" i="41"/>
  <c r="D3" i="87"/>
  <c r="D5" i="87" s="1"/>
  <c r="F5" i="87" s="1"/>
  <c r="G31" i="43"/>
  <c r="G17" i="43"/>
  <c r="J5" i="25"/>
  <c r="H5" i="25"/>
  <c r="L5" i="25"/>
  <c r="F21" i="43"/>
  <c r="H21" i="43" s="1"/>
  <c r="F10" i="86"/>
  <c r="C6" i="45" s="1"/>
  <c r="E32" i="41"/>
  <c r="C3" i="85"/>
  <c r="D3" i="85" s="1"/>
  <c r="D4" i="85" s="1"/>
  <c r="C5" i="45" s="1"/>
  <c r="C6" i="34" s="1"/>
  <c r="F22" i="43"/>
  <c r="H22" i="43" s="1"/>
  <c r="F6" i="25"/>
  <c r="D6" i="25"/>
  <c r="C36" i="44"/>
  <c r="F24" i="43"/>
  <c r="H24" i="43" s="1"/>
  <c r="C26" i="32"/>
  <c r="G28" i="43"/>
  <c r="G23" i="43"/>
  <c r="F12" i="43"/>
  <c r="H12" i="43" s="1"/>
  <c r="F3" i="87" l="1"/>
  <c r="F8" i="87" s="1"/>
  <c r="C7" i="45" s="1"/>
  <c r="C9" i="34" s="1"/>
  <c r="E3" i="81"/>
  <c r="E7" i="81" s="1"/>
  <c r="M5" i="25"/>
  <c r="N5" i="25" s="1"/>
  <c r="F20" i="43"/>
  <c r="H20" i="43" s="1"/>
  <c r="H6" i="25"/>
  <c r="G7" i="43" s="1"/>
  <c r="L6" i="25"/>
  <c r="J6" i="25"/>
  <c r="G6" i="43" s="1"/>
  <c r="F3" i="81" l="1"/>
  <c r="F17" i="43"/>
  <c r="H17" i="43" s="1"/>
  <c r="M6" i="25"/>
  <c r="G5" i="43"/>
  <c r="F9" i="43"/>
  <c r="H9" i="43" s="1"/>
  <c r="F5" i="81"/>
  <c r="F6" i="81"/>
  <c r="P6" i="25" l="1"/>
  <c r="C9" i="45" s="1"/>
  <c r="C17" i="34" s="1"/>
  <c r="G14" i="41"/>
  <c r="N6" i="25"/>
  <c r="F4" i="81"/>
  <c r="F7" i="81" s="1"/>
  <c r="C35" i="44" s="1"/>
  <c r="C7" i="34" s="1"/>
  <c r="C8" i="34" s="1"/>
  <c r="C10" i="34" s="1"/>
  <c r="F9" i="81"/>
  <c r="F11" i="81" s="1"/>
  <c r="C10" i="45" l="1"/>
  <c r="F5" i="43"/>
  <c r="F23" i="43"/>
  <c r="H23" i="43" s="1"/>
  <c r="C38" i="44"/>
  <c r="F26" i="43" s="1"/>
  <c r="D21" i="32"/>
  <c r="H5" i="43" l="1"/>
  <c r="F6" i="43"/>
  <c r="H6" i="43" s="1"/>
  <c r="C11" i="34"/>
  <c r="C13" i="34" s="1"/>
  <c r="C15" i="34" s="1"/>
  <c r="C18" i="34" s="1"/>
  <c r="C20" i="34" s="1"/>
  <c r="C22" i="34" s="1"/>
  <c r="C23" i="34" s="1"/>
  <c r="D24" i="32"/>
  <c r="F18" i="43"/>
  <c r="F7" i="43" l="1"/>
  <c r="H7" i="43" s="1"/>
  <c r="G18" i="43"/>
  <c r="H18" i="43" s="1"/>
  <c r="D32" i="32"/>
  <c r="D33" i="32" s="1"/>
  <c r="G15" i="41"/>
  <c r="G19" i="43"/>
  <c r="F15" i="41" l="1"/>
  <c r="D13" i="32"/>
  <c r="F28" i="43" s="1"/>
  <c r="H28" i="43" s="1"/>
  <c r="C24" i="34"/>
  <c r="E3" i="89" s="1"/>
  <c r="E4" i="89" l="1"/>
  <c r="E5" i="89" s="1"/>
  <c r="F27" i="43"/>
  <c r="E6" i="89" l="1"/>
  <c r="E7" i="89"/>
  <c r="E8" i="89" l="1"/>
  <c r="E15" i="89" l="1"/>
  <c r="E10" i="89"/>
  <c r="E13" i="89"/>
  <c r="G9" i="41" s="1"/>
  <c r="F9" i="41" s="1"/>
  <c r="E12" i="89"/>
  <c r="E9" i="89"/>
  <c r="E16" i="89"/>
  <c r="E14" i="89"/>
  <c r="E11" i="89"/>
  <c r="E17" i="89" l="1"/>
  <c r="G8" i="41"/>
  <c r="G16" i="41" s="1"/>
  <c r="F8" i="41" l="1"/>
  <c r="D8" i="32"/>
  <c r="F16" i="43"/>
  <c r="H16" i="43" s="1"/>
  <c r="F15" i="43"/>
  <c r="H15" i="43" s="1"/>
  <c r="G19" i="41" l="1"/>
  <c r="D14" i="32"/>
  <c r="D15" i="32" s="1"/>
  <c r="F19" i="43"/>
  <c r="H19" i="43" s="1"/>
  <c r="F16" i="41"/>
  <c r="G17" i="41" l="1"/>
  <c r="G18" i="41"/>
  <c r="G32" i="41"/>
  <c r="F14" i="41"/>
  <c r="F8" i="43"/>
  <c r="H8" i="43" s="1"/>
  <c r="G27" i="43"/>
  <c r="H27" i="43" s="1"/>
  <c r="F31" i="43"/>
  <c r="H31" i="43" s="1"/>
  <c r="G26" i="43"/>
  <c r="D26" i="32"/>
  <c r="G29" i="43"/>
  <c r="H29" i="43" s="1"/>
  <c r="F4" i="25" l="1"/>
  <c r="L4" i="25" s="1"/>
  <c r="D4" i="25"/>
  <c r="H4" i="25" l="1"/>
  <c r="J4" i="25"/>
  <c r="M4" i="25" l="1"/>
</calcChain>
</file>

<file path=xl/comments1.xml><?xml version="1.0" encoding="utf-8"?>
<comments xmlns="http://schemas.openxmlformats.org/spreadsheetml/2006/main">
  <authors>
    <author>HP</author>
  </authors>
  <commentList>
    <comment ref="C6" authorId="0" shapeId="0">
      <text>
        <r>
          <rPr>
            <b/>
            <sz val="9"/>
            <color indexed="81"/>
            <rFont val="Tahoma"/>
            <charset val="1"/>
          </rPr>
          <t>HP:</t>
        </r>
        <r>
          <rPr>
            <sz val="9"/>
            <color indexed="81"/>
            <rFont val="Tahoma"/>
            <charset val="1"/>
          </rPr>
          <t xml:space="preserve">
2 Pcs Laptop
</t>
        </r>
      </text>
    </comment>
    <comment ref="D9" authorId="0" shapeId="0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8 Pcs Battery, 3 Pcs Invertor
</t>
        </r>
      </text>
    </comment>
    <comment ref="D11" authorId="0" shapeId="0">
      <text>
        <r>
          <rPr>
            <b/>
            <sz val="9"/>
            <color indexed="81"/>
            <rFont val="Tahoma"/>
            <charset val="1"/>
          </rPr>
          <t>HP:</t>
        </r>
        <r>
          <rPr>
            <sz val="9"/>
            <color indexed="81"/>
            <rFont val="Tahoma"/>
            <charset val="1"/>
          </rPr>
          <t xml:space="preserve">
2 Pcs Attendance</t>
        </r>
      </text>
    </comment>
  </commentList>
</comments>
</file>

<file path=xl/comments2.xml><?xml version="1.0" encoding="utf-8"?>
<comments xmlns="http://schemas.openxmlformats.org/spreadsheetml/2006/main">
  <authors>
    <author>HP</author>
  </authors>
  <commentList>
    <comment ref="B10" authorId="0" shapeId="0">
      <text>
        <r>
          <rPr>
            <b/>
            <sz val="9"/>
            <color indexed="81"/>
            <rFont val="Tahoma"/>
            <charset val="1"/>
          </rPr>
          <t>HP:</t>
        </r>
        <r>
          <rPr>
            <sz val="9"/>
            <color indexed="81"/>
            <rFont val="Tahoma"/>
            <charset val="1"/>
          </rPr>
          <t xml:space="preserve">
4 times &amp; 100 Members
</t>
        </r>
      </text>
    </comment>
  </commentList>
</comments>
</file>

<file path=xl/sharedStrings.xml><?xml version="1.0" encoding="utf-8"?>
<sst xmlns="http://schemas.openxmlformats.org/spreadsheetml/2006/main" count="708" uniqueCount="581">
  <si>
    <t>hDdf</t>
  </si>
  <si>
    <t>cf}ifwL pkrf/ vr{</t>
  </si>
  <si>
    <t>cGo vr{</t>
  </si>
  <si>
    <t>k|j]z z'Ns</t>
  </si>
  <si>
    <t>5'6 tyf sldzg</t>
  </si>
  <si>
    <t>पुँजी तथा दायित्व</t>
  </si>
  <si>
    <t xml:space="preserve">शेयर पुँजी </t>
  </si>
  <si>
    <t>कोष हिसाब</t>
  </si>
  <si>
    <t xml:space="preserve">बचत तथा निक्षेप </t>
  </si>
  <si>
    <t>बाह्य ऋण तथा सापटी</t>
  </si>
  <si>
    <t>पुँजीगत अनुदान</t>
  </si>
  <si>
    <t>दिर्घकालिन दायित्व</t>
  </si>
  <si>
    <t>सम्पत्ति तथा जायजेथा</t>
  </si>
  <si>
    <t>बैक मौज्दात</t>
  </si>
  <si>
    <t>लगानी हिसाब</t>
  </si>
  <si>
    <t>कर्जा तथा सापट लगानी</t>
  </si>
  <si>
    <t>चालु सम्पत्ति</t>
  </si>
  <si>
    <t>स्थिर सम्पत्ति</t>
  </si>
  <si>
    <t>अन्य दिर्घकालिन सम्पत्ति</t>
  </si>
  <si>
    <t>ब्याज आम्दानी</t>
  </si>
  <si>
    <t>प्रशासनिक खर्च</t>
  </si>
  <si>
    <t>ह्रास कट्टी खर्च</t>
  </si>
  <si>
    <t>कर्मचारी बोनस</t>
  </si>
  <si>
    <t>कर अघिको नाफा /(नोक्सान) रकम</t>
  </si>
  <si>
    <t>आयकर खर्च</t>
  </si>
  <si>
    <t>खुद नाफा/ (नोक्सान)रकम</t>
  </si>
  <si>
    <t>नाफा/ नोक्सान हिसाबको बिवरण</t>
  </si>
  <si>
    <t>खुद ब्याज आम्दनी /(खर्च)</t>
  </si>
  <si>
    <t>अन्य सञ्चालन आम्दानी</t>
  </si>
  <si>
    <t>कुल संचालन आम्दानी</t>
  </si>
  <si>
    <t>सम्भावित नोक्सानी ब्यबस्था अघिको सञ्चालन मुनाफा</t>
  </si>
  <si>
    <t>सम्भावित नोक्सानी ब्यबस्था</t>
  </si>
  <si>
    <t>सञ्चालन मुनाफा /(नोक्सान)</t>
  </si>
  <si>
    <t>गैर सञ्चालन आम्दानी</t>
  </si>
  <si>
    <t>सम्भावित नोक्सानी ब्यबस्थाबाट फिर्ता</t>
  </si>
  <si>
    <t>नियमित कारोबारबाट भएको मुनाफा/(नोक्सान)</t>
  </si>
  <si>
    <t>असामान्य कारोबारबाट भएको आम्दानी/(खर्च)</t>
  </si>
  <si>
    <t>सम्पूर्ण कारोबार समाबेश पछिको खुद मुनाफा</t>
  </si>
  <si>
    <t xml:space="preserve">जम्मा </t>
  </si>
  <si>
    <t>हालको अवस्था</t>
  </si>
  <si>
    <t>असार मसान्तको</t>
  </si>
  <si>
    <t>&gt;])fL ljlxg</t>
  </si>
  <si>
    <t>hDdf vr{</t>
  </si>
  <si>
    <t>s'l/o/ vr{</t>
  </si>
  <si>
    <t>6]lnkmf]g vr{</t>
  </si>
  <si>
    <t>df]jfO{n vr{</t>
  </si>
  <si>
    <t>OG6/g]6 vr{</t>
  </si>
  <si>
    <t>;"rgf k|sfzg vr{</t>
  </si>
  <si>
    <t>sfof{no ef8f vr{</t>
  </si>
  <si>
    <t>uf]bfd vr{</t>
  </si>
  <si>
    <t xml:space="preserve"> ======;]jf s]Gb| ef8f vr{</t>
  </si>
  <si>
    <t>lzif{s g+=</t>
  </si>
  <si>
    <t>cfGtl/s n]vf kl/If0f vr{</t>
  </si>
  <si>
    <t>cfGtl/s n]vf kl/If0f z'Ns</t>
  </si>
  <si>
    <t>afXo n]vf kl/If0f vr{</t>
  </si>
  <si>
    <t>afXo n]vf kl/If0f z'Ns</t>
  </si>
  <si>
    <t>u'0f:t/Lo ;'lglZrttf sfo{qmd
PS;];, k|f]j]zg, sJ;{</t>
  </si>
  <si>
    <t>sfg'gL k/fdz{ z'Ns</t>
  </si>
  <si>
    <t>cGo ljz]if1 z'Ns</t>
  </si>
  <si>
    <t>ejg dd{t ;+ef/ vr{</t>
  </si>
  <si>
    <t>;jf/L ;fwg dd{t vr{</t>
  </si>
  <si>
    <t>d]l;g/L cf}hf/ tyf kmlg{r/ dd{t vr{</t>
  </si>
  <si>
    <t>cGo ;Dklt dd{t vr{</t>
  </si>
  <si>
    <t>;jf/L ;fwg OGwg vr{</t>
  </si>
  <si>
    <t>h]g]/]6/ OGwg vr{</t>
  </si>
  <si>
    <t>UofF; vr{</t>
  </si>
  <si>
    <t>eN6, sfp06/ / dfu{:y ljdf vr{</t>
  </si>
  <si>
    <t>ejg ljdf vr{</t>
  </si>
  <si>
    <t>;jf/L ;fwg ljdf vr{</t>
  </si>
  <si>
    <t>cGo l:y/ ;Dklt ljdf vr{</t>
  </si>
  <si>
    <t>;+rfns ;ldlt</t>
  </si>
  <si>
    <t>n]vf ;ldlt</t>
  </si>
  <si>
    <t>C0f pk;ldlt</t>
  </si>
  <si>
    <t>cGo pk;ldlt</t>
  </si>
  <si>
    <t>;ˆ6j]o/ gljs/0f z'Ns</t>
  </si>
  <si>
    <t>3/ hUuf s/</t>
  </si>
  <si>
    <t>cGo s/ vr{</t>
  </si>
  <si>
    <t>Snfp8 z'Ns</t>
  </si>
  <si>
    <t>;+3x?df jflif{s P]Soj4tf z'Ns</t>
  </si>
  <si>
    <t>;jf/L ;fwg s/ tyf gljs/0f</t>
  </si>
  <si>
    <t xml:space="preserve">jflif{s ;xsf/L Joj;fo z'Ns </t>
  </si>
  <si>
    <t>;]jf s]Gb| Joj;fo btf{ z'Ns</t>
  </si>
  <si>
    <t>j]]e gljs/0f z'Ns</t>
  </si>
  <si>
    <t>;ldlt tyf pk;ldltsf] tflnd</t>
  </si>
  <si>
    <t>cfGtl/s lgoGq0f k|0ffnL tflnd</t>
  </si>
  <si>
    <t>kN;{ tflnd # lbg</t>
  </si>
  <si>
    <t>lwtf] d"Nof+sg tyf sfg'gL k|lqmof tflnd</t>
  </si>
  <si>
    <t>/fli6«o :tsf] uf]li7</t>
  </si>
  <si>
    <t>sd{rf/Lx?sf] nflu tflnd</t>
  </si>
  <si>
    <t>kN;{ tflnd</t>
  </si>
  <si>
    <t>;'/lIft C0f kl/rfng tflnd</t>
  </si>
  <si>
    <t>cu|efusf sd{rf/Lsf] Ifdtf ljsf; tflnd</t>
  </si>
  <si>
    <t>cfO{ l6 ;"rgf k|ljlw tflnd</t>
  </si>
  <si>
    <t>;Dklt z'l4s/0f tflnd</t>
  </si>
  <si>
    <t>;b:o ;DjGw Joj:yfkg tflnd</t>
  </si>
  <si>
    <t>gub kl/rfnssf] tflnd</t>
  </si>
  <si>
    <t>ahf/ k|ltlglwsf]] tflnd</t>
  </si>
  <si>
    <t>;b:osf] tflnd</t>
  </si>
  <si>
    <t>pBdlzntf tyf l;k ljsf; tflnd</t>
  </si>
  <si>
    <t>k|ljlwd}qL ljlQo ;fIf/tf tflnd</t>
  </si>
  <si>
    <t>;xsf/L lzIff tflnd</t>
  </si>
  <si>
    <t>;b:ox?sf] cfjZostf ;j]{If0f vr{</t>
  </si>
  <si>
    <t>;b:ox?sf] ;Gt'li6 ;j]{If0f vr{</t>
  </si>
  <si>
    <t>cGo cg';Gwfg tyf ljsf; vr{</t>
  </si>
  <si>
    <t>h]i7 gful/s ;Ddfg</t>
  </si>
  <si>
    <t>pTs[i6 ;b:o ;Ddfg</t>
  </si>
  <si>
    <t>pTs[i6 pBdL ;Ddfg</t>
  </si>
  <si>
    <t>pTs[i6 sd{rf/L ;Ddfg</t>
  </si>
  <si>
    <t>pTs[i6 afn artstf{ ;Ddfg</t>
  </si>
  <si>
    <t>kf/jxg vr{</t>
  </si>
  <si>
    <t>k|ltj]bg vr{</t>
  </si>
  <si>
    <t>lgjf{rg vr{</t>
  </si>
  <si>
    <t>vfgf tyf vfhf vr{</t>
  </si>
  <si>
    <t>;fp08 l;:6d</t>
  </si>
  <si>
    <t>cltly ;Tsf/ vr{</t>
  </si>
  <si>
    <t>sfo{qmd :yn vr{</t>
  </si>
  <si>
    <t>lj:tfl/t d~r vr{</t>
  </si>
  <si>
    <t>ljkt Joj:yfkg ;fdfu|L vr{</t>
  </si>
  <si>
    <t>z'esfdgf cfbfg k|bfg sfo{qmd</t>
  </si>
  <si>
    <t>:yfkgf lbj; sfo{qmd</t>
  </si>
  <si>
    <t>;xsf/L lbj; sfo{qmd</t>
  </si>
  <si>
    <t>:jf:Yo lzlj/</t>
  </si>
  <si>
    <t>/Qmbfg sfo{qmd</t>
  </si>
  <si>
    <t>cGo ;fdflhs lqmofsnfk</t>
  </si>
  <si>
    <t>sd{rf/Lx?sf] cWoog cjnf]sg e|d0f</t>
  </si>
  <si>
    <t>;ldltx?sf] cWoog cjnf]sg e|d0f</t>
  </si>
  <si>
    <t>;b:ox? ;lxtsf] cWoog cjnf]sg e|d0f</t>
  </si>
  <si>
    <t>sfof{no ;'/Iff vr{</t>
  </si>
  <si>
    <t>afXo ;'/Iff uf8{ vr{</t>
  </si>
  <si>
    <t>cltyL oftfoft vr{</t>
  </si>
  <si>
    <t>cltyL cfjf; tyf vfgf</t>
  </si>
  <si>
    <t>cltyLsf] nflu dfofsf] lrgf]</t>
  </si>
  <si>
    <t>;Dklt ckn]vg vr{</t>
  </si>
  <si>
    <t>cGo ckn]vg ;DjlGw vr{</t>
  </si>
  <si>
    <t>k|j4{gfTds ;fdfu|L 5kfO{ tyf lgdf{0f vr{</t>
  </si>
  <si>
    <t>3/b}nf] sfo{qmd vr{</t>
  </si>
  <si>
    <t>j:t' tyf ;]jfsf] Sof6nu,a|f]l;o/ lgdf{0f vr{</t>
  </si>
  <si>
    <t xml:space="preserve">;f}hGo vr{ </t>
  </si>
  <si>
    <t>j[tlrq lgdf{0f vr{</t>
  </si>
  <si>
    <t>&gt;Jo b[Zo ;fdfu|L lgdf{0f</t>
  </si>
  <si>
    <t>cGo k|j4{gfTds vr{</t>
  </si>
  <si>
    <t>oftfoft vr{</t>
  </si>
  <si>
    <t>b}lgs e|d0f eQf vr{ -lhNnf leq_</t>
  </si>
  <si>
    <t>b}lgs e|d0f eQf vr{ -lhNnf aflx/_</t>
  </si>
  <si>
    <t xml:space="preserve">afXo C0f lnFbf Joj:yfkg z'Ns </t>
  </si>
  <si>
    <t xml:space="preserve">lwtf] /f]Ssf ;DjlGw z'Ns </t>
  </si>
  <si>
    <t>sfuhft Joj:yfkg vr{</t>
  </si>
  <si>
    <t>lwtf] d'Nof+sg z'Ns</t>
  </si>
  <si>
    <t>C0f k|s[ofsf] nflu oftfoft, cfjf;, vfgf tyf vfhf vr{</t>
  </si>
  <si>
    <t>ejg</t>
  </si>
  <si>
    <t>kmlg{r/ tyf OlSjkd]06</t>
  </si>
  <si>
    <t>Nofk6k</t>
  </si>
  <si>
    <t>sDKo'6/</t>
  </si>
  <si>
    <t>l;=l;= Sofd]/f</t>
  </si>
  <si>
    <t>kfj/ Aofsk-OGe6/_</t>
  </si>
  <si>
    <t>laln8= d]lzg</t>
  </si>
  <si>
    <t>O–P6]08]G;</t>
  </si>
  <si>
    <t>:Sofg/</t>
  </si>
  <si>
    <t>gub sfplG68 d]lzg</t>
  </si>
  <si>
    <t>k|f]h]S6/</t>
  </si>
  <si>
    <t>;]jf s]Gb|</t>
  </si>
  <si>
    <t>lk|G6/</t>
  </si>
  <si>
    <t>l8:Kn]</t>
  </si>
  <si>
    <t>gf]6 l86]S6/</t>
  </si>
  <si>
    <t>kmfo/k|'km b/fh</t>
  </si>
  <si>
    <t>6|ofj a}+lsË</t>
  </si>
  <si>
    <t>;jf/L ;fwg</t>
  </si>
  <si>
    <t>sf/</t>
  </si>
  <si>
    <t>Eofg</t>
  </si>
  <si>
    <t>df]6/;fO{sn</t>
  </si>
  <si>
    <t>cb[io ;Dklt</t>
  </si>
  <si>
    <t>n]vf ;km\6j]o/</t>
  </si>
  <si>
    <t>dfgj ;+zfwg ;km\6j]o/</t>
  </si>
  <si>
    <t>Ocf/lk</t>
  </si>
  <si>
    <t>hUuf</t>
  </si>
  <si>
    <t>x|f;s§L ejg</t>
  </si>
  <si>
    <t>x|f;s§L kmlg{r/ tyf OlSjkd]06</t>
  </si>
  <si>
    <t>x|f;s§L ;jf/L ;fwg</t>
  </si>
  <si>
    <t>x|f;s§L cb[io ;Dklt 
;Dkltsf] cfo'jif{</t>
  </si>
  <si>
    <t xml:space="preserve">hUuf vl/b </t>
  </si>
  <si>
    <t>;DktL cjd'Nog vr{</t>
  </si>
  <si>
    <t>kq klqsf vr{</t>
  </si>
  <si>
    <t>P;=Pd=P;= vr{</t>
  </si>
  <si>
    <t>z'esfdgf k|sfzg tyf k|;f/0f</t>
  </si>
  <si>
    <t xml:space="preserve">cGo vr{ </t>
  </si>
  <si>
    <t xml:space="preserve">sfof{no lrof vr{ </t>
  </si>
  <si>
    <t>a}7s lrof tyf vfhf vr{</t>
  </si>
  <si>
    <t>;b:o ljdf vr{</t>
  </si>
  <si>
    <t>;dj]bgf vr{</t>
  </si>
  <si>
    <t xml:space="preserve">;'Ts]/L kf]if0f tyf gjhft lzz' d'v x]/fO{ vr{ </t>
  </si>
  <si>
    <t>C0f ljdf vr{</t>
  </si>
  <si>
    <t>k|ljlwx?sf] ljsf;</t>
  </si>
  <si>
    <t>j:t' tyf ;]jf ljsf; vr{</t>
  </si>
  <si>
    <t>;b:otf</t>
  </si>
  <si>
    <t>;b:otf a[l$</t>
  </si>
  <si>
    <t>विवरण</t>
  </si>
  <si>
    <t>वृद्धि दर</t>
  </si>
  <si>
    <t xml:space="preserve">lgoldt artsf] Jofh vr{ </t>
  </si>
  <si>
    <t>wg l;h{gf artsf] Jofh vr{</t>
  </si>
  <si>
    <t>cfjlws artsf] Jofh vr{</t>
  </si>
  <si>
    <t>sf/f]jf/ artsf] Jofh vr{</t>
  </si>
  <si>
    <t>afXo C0fsf] Jofh vr{</t>
  </si>
  <si>
    <t>C0f hf]lvd sf]if Joj:yf vr{</t>
  </si>
  <si>
    <t>ljlQo nufgLjf6 cfDbfgL</t>
  </si>
  <si>
    <t>cfDbfgL ljj/0f</t>
  </si>
  <si>
    <t>C0f nufgLjf6 cfDbfgL</t>
  </si>
  <si>
    <t>ljk|]if0f ;]jfaf6 cfDbfgL</t>
  </si>
  <si>
    <t>ljdf ;]jfaf6 cfDbfgL</t>
  </si>
  <si>
    <t>C0f Joj:yfkg z'Ns cfDbfgL</t>
  </si>
  <si>
    <t>C0f dfu kmf/d z'Ns</t>
  </si>
  <si>
    <t>;b:otf z'Ns</t>
  </si>
  <si>
    <t>चालु दायित्व</t>
  </si>
  <si>
    <t>जोखिम व्यवस्था</t>
  </si>
  <si>
    <t>kN;{ cg'kft ljZn]if)f</t>
  </si>
  <si>
    <t>z'qx?</t>
  </si>
  <si>
    <t>Numerator</t>
  </si>
  <si>
    <t>Denominator</t>
  </si>
  <si>
    <t>oyfy{</t>
  </si>
  <si>
    <t>P1</t>
  </si>
  <si>
    <r>
      <rPr>
        <u/>
        <sz val="10"/>
        <color theme="1"/>
        <rFont val="FONTASY_ HIMALI_ TT"/>
        <family val="5"/>
      </rPr>
      <t xml:space="preserve">C)f xfgLsf] nflu %'^\ofPsf] sf]if 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12 dlxgf eGbf a(L efvf gf#]sf] C)f</t>
    </r>
  </si>
  <si>
    <t>P2</t>
  </si>
  <si>
    <r>
      <rPr>
        <u/>
        <sz val="10"/>
        <color theme="1"/>
        <rFont val="FONTASY_ HIMALI_ TT"/>
        <family val="5"/>
      </rPr>
      <t xml:space="preserve">C)f xfgLsf] nflu %'^\ofPsf] sf]if 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1 b]lv 12 dlxgf ;Dd efvf gf#]sf] C)f</t>
    </r>
  </si>
  <si>
    <t>P2x</t>
  </si>
  <si>
    <r>
      <rPr>
        <u/>
        <sz val="10"/>
        <color theme="1"/>
        <rFont val="FONTASY_ HIMALI_ TT"/>
        <family val="5"/>
      </rPr>
      <t xml:space="preserve">C)f xfgLsf] nflu %'^\ofPsf] sf]if 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efvf ggf#]sf] C)f</t>
    </r>
  </si>
  <si>
    <t>P6</t>
  </si>
  <si>
    <r>
      <rPr>
        <u/>
        <sz val="10"/>
        <color theme="1"/>
        <rFont val="FONTASY_ HIMALI_ TT"/>
        <family val="5"/>
      </rPr>
      <t xml:space="preserve">;Dkltsf] vf; d'No 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hDdf art®z]o/</t>
    </r>
  </si>
  <si>
    <t>&gt;110%</t>
  </si>
  <si>
    <t>E1</t>
  </si>
  <si>
    <r>
      <rPr>
        <u/>
        <sz val="10"/>
        <color theme="1"/>
        <rFont val="FONTASY_ HIMALI_ TT"/>
        <family val="5"/>
      </rPr>
      <t xml:space="preserve">z'$ C)f nufgL 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s"n ;Dklt</t>
    </r>
  </si>
  <si>
    <t>70-80%</t>
  </si>
  <si>
    <t>E2</t>
  </si>
  <si>
    <r>
      <rPr>
        <u/>
        <sz val="10"/>
        <color theme="1"/>
        <rFont val="FONTASY_ HIMALI_ TT"/>
        <family val="5"/>
      </rPr>
      <t xml:space="preserve">t/n nufgL 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s'n ;Dklt</t>
    </r>
  </si>
  <si>
    <t>Max 20%</t>
  </si>
  <si>
    <t>E3</t>
  </si>
  <si>
    <r>
      <rPr>
        <u/>
        <sz val="10"/>
        <color theme="1"/>
        <rFont val="FONTASY_ HIMALI_ TT"/>
        <family val="5"/>
      </rPr>
      <t xml:space="preserve">ljlQo nufgL 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s'n ;Dklt</t>
    </r>
  </si>
  <si>
    <t>Max 10 %</t>
  </si>
  <si>
    <t>E5</t>
  </si>
  <si>
    <r>
      <rPr>
        <u/>
        <sz val="10"/>
        <color theme="1"/>
        <rFont val="FONTASY_ HIMALI_ TT"/>
        <family val="5"/>
      </rPr>
      <t>art</t>
    </r>
    <r>
      <rPr>
        <u/>
        <sz val="10"/>
        <color theme="1"/>
        <rFont val="Calibri"/>
        <family val="2"/>
      </rPr>
      <t>/</t>
    </r>
    <r>
      <rPr>
        <u/>
        <sz val="10"/>
        <color theme="1"/>
        <rFont val="FONTASY_ HIMALI_ TT"/>
        <family val="5"/>
      </rPr>
      <t xml:space="preserve">lgIf]k 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s'n ;Dklt</t>
    </r>
  </si>
  <si>
    <t>E6</t>
  </si>
  <si>
    <r>
      <rPr>
        <u/>
        <sz val="10"/>
        <color theme="1"/>
        <rFont val="FONTASY_ HIMALI_ TT"/>
        <family val="5"/>
      </rPr>
      <t xml:space="preserve">jfXo C)f 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s'n ;Dklt</t>
    </r>
  </si>
  <si>
    <t>Max 5%</t>
  </si>
  <si>
    <t>E7</t>
  </si>
  <si>
    <r>
      <rPr>
        <u/>
        <sz val="10"/>
        <color theme="1"/>
        <rFont val="FONTASY_ HIMALI_ TT"/>
        <family val="5"/>
      </rPr>
      <t xml:space="preserve">z]o/ k"hL 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s'n ;Dklt</t>
    </r>
  </si>
  <si>
    <t>10-20%</t>
  </si>
  <si>
    <t>E8</t>
  </si>
  <si>
    <r>
      <rPr>
        <u/>
        <sz val="10"/>
        <color theme="1"/>
        <rFont val="FONTASY_ HIMALI_ TT"/>
        <family val="5"/>
      </rPr>
      <t xml:space="preserve">;+:yfut k"hL 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s'n ;Dklt</t>
    </r>
  </si>
  <si>
    <t>Min 10%</t>
  </si>
  <si>
    <t>E9</t>
  </si>
  <si>
    <r>
      <rPr>
        <u/>
        <sz val="10"/>
        <color theme="1"/>
        <rFont val="FONTASY_ HIMALI_ TT"/>
        <family val="5"/>
      </rPr>
      <t xml:space="preserve">z'$ ;+:yfut k"hL 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s'n ;Dklt</t>
    </r>
  </si>
  <si>
    <t>Equal to E8</t>
  </si>
  <si>
    <t>A1</t>
  </si>
  <si>
    <r>
      <rPr>
        <u/>
        <sz val="10"/>
        <color theme="1"/>
        <rFont val="FONTASY_ HIMALI_ TT"/>
        <family val="5"/>
      </rPr>
      <t xml:space="preserve">s'n efvf gf#]sf] C)f 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s'n nufgLdf /x]s]f C)f</t>
    </r>
  </si>
  <si>
    <t>Less Than Or
Equal to 5%</t>
  </si>
  <si>
    <t>A2</t>
  </si>
  <si>
    <r>
      <rPr>
        <u/>
        <sz val="10"/>
        <color theme="1"/>
        <rFont val="FONTASY_ HIMALI_ TT"/>
        <family val="5"/>
      </rPr>
      <t>cfo cfh{g gug]{ ;Dklt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s'n ;Dklt</t>
    </r>
  </si>
  <si>
    <t>Less Than 5%</t>
  </si>
  <si>
    <t>A3</t>
  </si>
  <si>
    <r>
      <rPr>
        <u/>
        <sz val="10"/>
        <color theme="1"/>
        <rFont val="FONTASY_ HIMALI_ TT"/>
        <family val="5"/>
      </rPr>
      <t xml:space="preserve">z'$ nfut /lxt sf]if 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cfocfh{g gug]{ ;Dklt</t>
    </r>
  </si>
  <si>
    <t>Grater Than
Or Equal to 200%</t>
  </si>
  <si>
    <t>R1</t>
  </si>
  <si>
    <r>
      <rPr>
        <u/>
        <sz val="10"/>
        <color theme="1"/>
        <rFont val="FONTASY_ HIMALI_ TT"/>
        <family val="5"/>
      </rPr>
      <t xml:space="preserve">z'$ C)f nufgLjf^ k|fKt cfDbfgL 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cf}zt z'$ C)f</t>
    </r>
  </si>
  <si>
    <t>Average Interest Rate</t>
  </si>
  <si>
    <t>R2</t>
  </si>
  <si>
    <r>
      <rPr>
        <u/>
        <sz val="10"/>
        <color theme="1"/>
        <rFont val="FONTASY_ HIMALI_ TT"/>
        <family val="5"/>
      </rPr>
      <t xml:space="preserve">t/n nufgLjf^ k|fKt cfo 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cf};t t/n nufgL</t>
    </r>
  </si>
  <si>
    <t>Market Rate</t>
  </si>
  <si>
    <t>R3</t>
  </si>
  <si>
    <r>
      <rPr>
        <u/>
        <sz val="10"/>
        <color theme="1"/>
        <rFont val="FONTASY_ HIMALI_ TT"/>
        <family val="5"/>
      </rPr>
      <t xml:space="preserve">ljlQo nufgLjf^ k|fKt cfo 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cf};t ljlQo nufgL</t>
    </r>
  </si>
  <si>
    <t>R5</t>
  </si>
  <si>
    <r>
      <rPr>
        <u/>
        <sz val="10"/>
        <color theme="1"/>
        <rFont val="FONTASY_ HIMALI_ TT"/>
        <family val="5"/>
      </rPr>
      <t xml:space="preserve">artdf Jofh vr{ 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cf}ift art</t>
    </r>
  </si>
  <si>
    <t>R6</t>
  </si>
  <si>
    <r>
      <rPr>
        <u/>
        <sz val="10"/>
        <color theme="1"/>
        <rFont val="FONTASY_ HIMALI_ TT"/>
        <family val="5"/>
      </rPr>
      <t xml:space="preserve">jfXo C)fdf lt/]sf] Jofh 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cf}ift jfXo C)f</t>
    </r>
  </si>
  <si>
    <t>R7</t>
  </si>
  <si>
    <r>
      <rPr>
        <u/>
        <sz val="10"/>
        <color theme="1"/>
        <rFont val="FONTASY_ HIMALI_ TT"/>
        <family val="5"/>
      </rPr>
      <t xml:space="preserve">z]o/df nfef+z /sd 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cf}zt z]o/ k"hL</t>
    </r>
  </si>
  <si>
    <t>Market Rate
&gt;= R5</t>
  </si>
  <si>
    <t>R9</t>
  </si>
  <si>
    <r>
      <rPr>
        <u/>
        <sz val="10"/>
        <color theme="1"/>
        <rFont val="FONTASY_ HIMALI_ TT"/>
        <family val="5"/>
      </rPr>
      <t xml:space="preserve">;+rfng vr{ 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cf}zt s'n ;Dklt</t>
    </r>
  </si>
  <si>
    <t>&gt; Inflation Rate</t>
  </si>
  <si>
    <t>L1</t>
  </si>
  <si>
    <r>
      <rPr>
        <u/>
        <sz val="10"/>
        <color theme="1"/>
        <rFont val="FONTASY_ HIMALI_ TT"/>
        <family val="5"/>
      </rPr>
      <t>t/n nufgL®t/n ;Dklt</t>
    </r>
    <r>
      <rPr>
        <u/>
        <sz val="10"/>
        <color theme="1"/>
        <rFont val="Cambria"/>
        <family val="2"/>
        <scheme val="major"/>
      </rPr>
      <t>-</t>
    </r>
    <r>
      <rPr>
        <u/>
        <sz val="10"/>
        <color theme="1"/>
        <rFont val="FONTASY_ HIMALI_ TT"/>
        <family val="5"/>
      </rPr>
      <t xml:space="preserve">e'QmfgL lbg'kg]{ lx;fj 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s'n art</t>
    </r>
  </si>
  <si>
    <t>Min 15%</t>
  </si>
  <si>
    <t>L3</t>
  </si>
  <si>
    <r>
      <rPr>
        <u/>
        <sz val="10"/>
        <color theme="1"/>
        <rFont val="FONTASY_ HIMALI_ TT"/>
        <family val="5"/>
      </rPr>
      <t xml:space="preserve">cfo cfh{g gug]{ t/n ;Dklt 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s'n ;Dklt</t>
    </r>
  </si>
  <si>
    <t>&lt;1%</t>
  </si>
  <si>
    <t>S10</t>
  </si>
  <si>
    <r>
      <rPr>
        <u/>
        <sz val="10"/>
        <color theme="1"/>
        <rFont val="FONTASY_ HIMALI_ TT"/>
        <family val="5"/>
      </rPr>
      <t xml:space="preserve">;b:o ;+Vof -ut cf=j=-o; cf=j=_ 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ut cf=j=sf] ;b:o ;+Vof</t>
    </r>
  </si>
  <si>
    <t>&gt;15</t>
  </si>
  <si>
    <t>S11</t>
  </si>
  <si>
    <r>
      <rPr>
        <u/>
        <sz val="10"/>
        <color theme="1"/>
        <rFont val="FONTASY_ HIMALI_ TT"/>
        <family val="5"/>
      </rPr>
      <t xml:space="preserve">s"n ;Dklt -ut cf=j=-o; cf=j=_ 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ut cf=j=sf] s"n ;Dklt</t>
    </r>
  </si>
  <si>
    <t>अनुमानित वित्तीय स्थितिको बिवरण</t>
  </si>
  <si>
    <t>a}+s Jofh cfDbfgL</t>
  </si>
  <si>
    <t>कर्मचारी खर्च</t>
  </si>
  <si>
    <t>पानी, बिजुली तथा सरसफाई</t>
  </si>
  <si>
    <t>बैंक शुल्क</t>
  </si>
  <si>
    <t>मसलन्द तथा छपाई</t>
  </si>
  <si>
    <t>सूचना तथा संचार</t>
  </si>
  <si>
    <t>भाडा खर्च</t>
  </si>
  <si>
    <t>लेखापरीक्षण शुल्क</t>
  </si>
  <si>
    <t>लेखापरीक्षण खर्च</t>
  </si>
  <si>
    <t>व्यवसायिक परामर्श शुल्क</t>
  </si>
  <si>
    <t>मर्मत तथा सम्भार</t>
  </si>
  <si>
    <t>इन्धन खर्च</t>
  </si>
  <si>
    <t>बिमा प्रिमियम खर्च</t>
  </si>
  <si>
    <t>बैठक भत्ता</t>
  </si>
  <si>
    <t>दर्ता, नबिकरण तथा अन्य कर</t>
  </si>
  <si>
    <t>प्रशिक्षण तथा गोष्ठी</t>
  </si>
  <si>
    <t>अनुशन्धान तथा विकास</t>
  </si>
  <si>
    <t>सम्मान तथा पुरस्कार</t>
  </si>
  <si>
    <t>साधारण तथा बिस्तारित मन्च</t>
  </si>
  <si>
    <t>बिपत व्यवस्थापन</t>
  </si>
  <si>
    <t>उत्सव तथा प्रोत्साहन खर्च (सामाजिक क्रियाकलाप)</t>
  </si>
  <si>
    <t>अध्यनन तथा अवलोकन खर्च</t>
  </si>
  <si>
    <t>सुरक्षा खर्च</t>
  </si>
  <si>
    <t>अतिथि सत्कार खर्च</t>
  </si>
  <si>
    <t>अपलेखन खर्च</t>
  </si>
  <si>
    <t>बजारीकरण तथा प्रवर्धन खर्च</t>
  </si>
  <si>
    <t>यातायात तथा दैनिक भ्रमण भत्ता</t>
  </si>
  <si>
    <t>ऋण प्रक्रियागत खर्च</t>
  </si>
  <si>
    <t>ह्रास खर्च</t>
  </si>
  <si>
    <t>अवमुल्यन खर्च</t>
  </si>
  <si>
    <t>अन्य खर्च</t>
  </si>
  <si>
    <t>कार्यालय चिया तथा बैठक खर्च</t>
  </si>
  <si>
    <t>सदस्य हेरचाह खर्च</t>
  </si>
  <si>
    <t>वित्तीय लागत खर्च</t>
  </si>
  <si>
    <t>बाह्य ऋणको ब्याज खर्च</t>
  </si>
  <si>
    <t>जोखिम व्यवस्थापन खर्च</t>
  </si>
  <si>
    <t>वित्तीय लगानिबाट आम्दानी</t>
  </si>
  <si>
    <t>गैह्र बितीय लगानीबाट आम्दानी</t>
  </si>
  <si>
    <t>ऋण लगानीबाट आम्दानी</t>
  </si>
  <si>
    <t>सेवा सन्चालनबाट आम्दानी</t>
  </si>
  <si>
    <t>बिक्रीबाट आम्दानी (ऋण व्यवस्थापन बाट आम्दानी)</t>
  </si>
  <si>
    <t>अन्य आम्दानी</t>
  </si>
  <si>
    <t>सदस्यता अनुमान</t>
  </si>
  <si>
    <t>ऋणको ऐजिंग बिवरण</t>
  </si>
  <si>
    <t>बचतको बिस्तृत बिवरण</t>
  </si>
  <si>
    <t xml:space="preserve">स्थिर सम्पति बिस्तृत बिवरण </t>
  </si>
  <si>
    <t>अन्तिम वासलात</t>
  </si>
  <si>
    <t>खर्च सारांश बिवरण</t>
  </si>
  <si>
    <t>आम्दानी सारांश बिवरण</t>
  </si>
  <si>
    <t>अन्तिम नाफा नोक्सान बिवरण</t>
  </si>
  <si>
    <t>नाफा बाँडफाड बिवरण</t>
  </si>
  <si>
    <t>अन्तिम पर्ल्स</t>
  </si>
  <si>
    <t>होम पेज</t>
  </si>
  <si>
    <t>खर्च शिर्षक</t>
  </si>
  <si>
    <t>आम्दानी शिर्षक</t>
  </si>
  <si>
    <t>ऋण जोखिम व्यवस्था बाट आम्दानी</t>
  </si>
  <si>
    <t>बिवरण</t>
  </si>
  <si>
    <t>अनुमानित वित्तीय स्थिती पत्र (वासलात)</t>
  </si>
  <si>
    <t>P=l;=</t>
  </si>
  <si>
    <t xml:space="preserve"> gofF ufFp ;]jf s]Gb| ef8f vr{</t>
  </si>
  <si>
    <t>df]tLk'/ ;]jf s]Gb| ef8f vr{</t>
  </si>
  <si>
    <t>;]jf s]Gb| pk;ldlt</t>
  </si>
  <si>
    <t>l;l6Olel6</t>
  </si>
  <si>
    <t>artsf] efl/t cf}ift Jofhb/</t>
  </si>
  <si>
    <t>C0fsf] efl/t cf}ift Jofhb/</t>
  </si>
  <si>
    <t>km/stfb/</t>
  </si>
  <si>
    <t>आ.व. २०८२/०८३</t>
  </si>
  <si>
    <t>आ.व. २०८३/०८४</t>
  </si>
  <si>
    <t>आषाढको अनुपात</t>
  </si>
  <si>
    <t>पहिलो वर्षको अनुपात</t>
  </si>
  <si>
    <t>जम्मा ऋण लगानी</t>
  </si>
  <si>
    <t>असल ऋणको प्रतिशत</t>
  </si>
  <si>
    <t>असल ऋण रकम</t>
  </si>
  <si>
    <t>कूल भाखा नाघेको ऋणको अनुपात</t>
  </si>
  <si>
    <t>कूल भाखा नाघेको ऋण रकम</t>
  </si>
  <si>
    <t>कमशल ऋण प्रतिशत</t>
  </si>
  <si>
    <t>कमसल ऋण रकम</t>
  </si>
  <si>
    <t>संकास्पद ऋण प्रतिशत</t>
  </si>
  <si>
    <t>संकास्पद ऋण रकम</t>
  </si>
  <si>
    <t>खराव ऋण प्रतिशत</t>
  </si>
  <si>
    <t>खराव ऋण रकम</t>
  </si>
  <si>
    <t>आवश्यक जोखिम व्यवस्था रकम</t>
  </si>
  <si>
    <t>यस आ.व. मा गर्नुपर्ने खर्च</t>
  </si>
  <si>
    <t>जोखिम व्यवस्था खर्च</t>
  </si>
  <si>
    <t>बढी जोखिम व्यवस्था रकम</t>
  </si>
  <si>
    <t>अनुपात</t>
  </si>
  <si>
    <t>कूल बचत निक्षेप</t>
  </si>
  <si>
    <t>नियमित मासिक बचत गर्ने सदस्य अनुमानित प्रतिशत</t>
  </si>
  <si>
    <t>अनुमानित नियमित मासिक बचत सदस्य संख्या</t>
  </si>
  <si>
    <t>धन सिर्जना गर्ने बचत</t>
  </si>
  <si>
    <t>नियमित मासिक बचत</t>
  </si>
  <si>
    <t>आवधिक बचत</t>
  </si>
  <si>
    <t>औषत नियमित मासिक बचत</t>
  </si>
  <si>
    <t>सम्पति विवरण</t>
  </si>
  <si>
    <t>पौष मसान्त</t>
  </si>
  <si>
    <t>चैत्र मसान्त</t>
  </si>
  <si>
    <t>आषाढ मसान्त</t>
  </si>
  <si>
    <t>आयकर दायित्व</t>
  </si>
  <si>
    <t>नगद वा नगद सरह</t>
  </si>
  <si>
    <t>क़</t>
  </si>
  <si>
    <t>आम्दानी शिर्षक नं.</t>
  </si>
  <si>
    <t>वित्तीय लगानीबाट आम्दानी</t>
  </si>
  <si>
    <t>गैह्र वित्तीय लगानीबाट आम्दानी</t>
  </si>
  <si>
    <t>सेवा सञ्चालनबाट आम्दानी</t>
  </si>
  <si>
    <t>ऋण जोखिम कोषबाट आम्दानी</t>
  </si>
  <si>
    <t>जम्मा</t>
  </si>
  <si>
    <t>विक्रिबाट आम्दानी (ऋण व्यवस्थापन शुल्क)</t>
  </si>
  <si>
    <t>खर्च विवरण</t>
  </si>
  <si>
    <t>खर्च शिर्षक नं.</t>
  </si>
  <si>
    <t xml:space="preserve">पानी विजुली तथा सरसफाई </t>
  </si>
  <si>
    <t>सूचना तथा सञ्चार</t>
  </si>
  <si>
    <t>लेखापरिक्षण शुल्क</t>
  </si>
  <si>
    <t>लेखापरिक्षण खर्च</t>
  </si>
  <si>
    <t>मर्मत तथा संभार खर्च</t>
  </si>
  <si>
    <t>विमा प्रिमियम खर्च</t>
  </si>
  <si>
    <t>दर्ता निवकरण तथा अन्य कर</t>
  </si>
  <si>
    <t>अनुसन्धान तथा विकास</t>
  </si>
  <si>
    <t>साधारण सभा तथा विस्तारित मञ्च</t>
  </si>
  <si>
    <t>विपत व्यवस्थापन खर्च</t>
  </si>
  <si>
    <t>उत्सव तथा प्रोत्साहन / सामाजिक क्रियाकलाप खर्च</t>
  </si>
  <si>
    <t>अध्ययन तथा अवलोकन</t>
  </si>
  <si>
    <t>बजारीकरण तथा प्रवर्द्धन खर्च</t>
  </si>
  <si>
    <t>ऋण पक्रियागत खर्च</t>
  </si>
  <si>
    <t>वित्तीय खर्च</t>
  </si>
  <si>
    <t>बाह्य ऋणको व्याज खर्च</t>
  </si>
  <si>
    <t>जेखिम व्यवस्था खर्च</t>
  </si>
  <si>
    <t>१५०.३.१.१</t>
  </si>
  <si>
    <t>१५०.३.१.२</t>
  </si>
  <si>
    <t>१५०.३.१.३</t>
  </si>
  <si>
    <t>१५०.३.१.४</t>
  </si>
  <si>
    <t>१५०.३.१.५</t>
  </si>
  <si>
    <t>१५०.३.१.६</t>
  </si>
  <si>
    <t>१५०.३.१.७</t>
  </si>
  <si>
    <t>१५०.३.१.८</t>
  </si>
  <si>
    <t>१५०.३.१.९</t>
  </si>
  <si>
    <t>१५०.३.१.१०</t>
  </si>
  <si>
    <t>१५०.३.१.११</t>
  </si>
  <si>
    <t>१५०.३.१.१२</t>
  </si>
  <si>
    <t>१५०.३.१.१३</t>
  </si>
  <si>
    <t>१५०.३.१.१४</t>
  </si>
  <si>
    <t>१५०.३.१.१५</t>
  </si>
  <si>
    <t>१५०.३.१.१६</t>
  </si>
  <si>
    <t>१५०.३.१.१७</t>
  </si>
  <si>
    <t>१५०.३.१.१८</t>
  </si>
  <si>
    <t>१५०.३.१.१९</t>
  </si>
  <si>
    <t>१५०.३.१.२०</t>
  </si>
  <si>
    <t>१५०.३.१.२१</t>
  </si>
  <si>
    <t>१५०.३.१.२२</t>
  </si>
  <si>
    <t>१५०.३.१.२३</t>
  </si>
  <si>
    <t>१५०.३.१.२४</t>
  </si>
  <si>
    <t>१५०.३.१.२५</t>
  </si>
  <si>
    <t>१५०.३.१.२६</t>
  </si>
  <si>
    <t>१५०.३.१.२७</t>
  </si>
  <si>
    <t>१५०.३.१.२८</t>
  </si>
  <si>
    <t>१५०.३.१.२९</t>
  </si>
  <si>
    <t>१५०.३.१.३०</t>
  </si>
  <si>
    <t>१५०.३.१.३१</t>
  </si>
  <si>
    <t>१५०.३.१.३२</t>
  </si>
  <si>
    <t>१५०.३.२.१</t>
  </si>
  <si>
    <t>१५०.३.२.२</t>
  </si>
  <si>
    <t>१५०.३.३</t>
  </si>
  <si>
    <t>ब्याज खर्च</t>
  </si>
  <si>
    <t>कोषबाँडफाँड विवरण</t>
  </si>
  <si>
    <t>क्र.सं.</t>
  </si>
  <si>
    <t>प्रतिशत</t>
  </si>
  <si>
    <t>खुद मुनाफा</t>
  </si>
  <si>
    <t>जगेडा कोष</t>
  </si>
  <si>
    <t>वितरणयोग्य मुनाफा</t>
  </si>
  <si>
    <t>संरक्षित पूँजीफिर्ता कोष</t>
  </si>
  <si>
    <t>सहकारी प्रवर्द्धन कोष</t>
  </si>
  <si>
    <t>अन्य कोषमा वितरण योग्य मुनाफा</t>
  </si>
  <si>
    <t>सहकारी शिक्षा कोष</t>
  </si>
  <si>
    <t>शेयर लाभांश कोष</t>
  </si>
  <si>
    <t>कर्मचारी बोनस कोष</t>
  </si>
  <si>
    <t>सहकारी विकास कोष</t>
  </si>
  <si>
    <t>घाटापूर्ति कोष</t>
  </si>
  <si>
    <t>सामुदायिक शिक्षा कोष</t>
  </si>
  <si>
    <t>स्थिरीकरण कोष</t>
  </si>
  <si>
    <t>अन्य जोखिम व्यवस्था कोष</t>
  </si>
  <si>
    <t>सूचक</t>
  </si>
  <si>
    <t>लक्ष्य प्रतिशत</t>
  </si>
  <si>
    <t>१२ महिना भन्दा बढी भाखा नाघेको ऋणको लागि जोखिम कोषको व्यवस्था</t>
  </si>
  <si>
    <t>असल ऋण र कमसल ऋणको लागि जोखिम कोषको व्यवस्था</t>
  </si>
  <si>
    <t>तिर्न सक्ने क्षमताको अनुपात</t>
  </si>
  <si>
    <t>कूल सम्पतिमा खुद ऋणको अनुपात</t>
  </si>
  <si>
    <t>कूल सम्पतिमा तरल लगानीको अनुपात</t>
  </si>
  <si>
    <t>कूल सम्पतिमा वित्तीय लगानीको अनुपात</t>
  </si>
  <si>
    <t>कूल सम्पतिमा बचत/निक्षेपको अनुपात</t>
  </si>
  <si>
    <t>१ देखि १२ महिना सम्म भाखा नाघेको ऋणको लागि जोखिम कोषको व्यवस्था</t>
  </si>
  <si>
    <t>कूल सम्पतिमा बाह्य ऋणको अनुपात</t>
  </si>
  <si>
    <t>कूल सम्पतिमा शेयर पूँजीको अनुपात</t>
  </si>
  <si>
    <t>कूल सम्पतिमा संस्थागत पूँजीको अनुपात</t>
  </si>
  <si>
    <t>कूल सम्पतिमा शुद्ध संस्थागत पूँजीको अनुपात</t>
  </si>
  <si>
    <t>कूल ऋणमा भाखा नाघेको ऋणको अनुपात</t>
  </si>
  <si>
    <t>कूल सम्पतिमा नकमाउने सम्पतिको अनुपात</t>
  </si>
  <si>
    <t>शुद्ध लागतरहित कोषमा आय आर्जन नगर्ने सम्पतिको अनुपात</t>
  </si>
  <si>
    <r>
      <rPr>
        <sz val="14"/>
        <color rgb="FF000000"/>
        <rFont val="Kokila"/>
        <family val="2"/>
      </rPr>
      <t>औ</t>
    </r>
    <r>
      <rPr>
        <sz val="14"/>
        <color rgb="FF000000"/>
        <rFont val="Preeti"/>
      </rPr>
      <t>षत तरल लगानीको अनुपातमा तरल लगानीबाट प्राप्त आम्दानी</t>
    </r>
  </si>
  <si>
    <t xml:space="preserve">औषत कूल खुद ऋणको अनुपातमा ऋण लगानीबाट प्राप्त आम्दानी </t>
  </si>
  <si>
    <r>
      <rPr>
        <sz val="14"/>
        <color rgb="FF000000"/>
        <rFont val="Kokila"/>
        <family val="2"/>
      </rPr>
      <t>औ</t>
    </r>
    <r>
      <rPr>
        <sz val="14"/>
        <color rgb="FF000000"/>
        <rFont val="Preeti"/>
      </rPr>
      <t>षत वित्तीय लगानीको अनुपातमा वित्तीय लगानीबाट प्राप्त आम्दानी</t>
    </r>
  </si>
  <si>
    <t>औषत बचतको अनुपातमा बचतमा तिरेको व्याज खर्च</t>
  </si>
  <si>
    <t>औषत बाह्य ऋणको अनुपातमा बाह्य ऋणमा तिरेको ब्याज खर्च</t>
  </si>
  <si>
    <t>औषत शेयर पूँजीको अनुपातमा लाभांश वितरण अनुपात</t>
  </si>
  <si>
    <t>औषत कूल सम्पतिमा सञ्चालन खर्चको अनुपात</t>
  </si>
  <si>
    <t>कूल निक्षेपमा तरलताको अनुपात</t>
  </si>
  <si>
    <t>कूल सम्पतिमा आय आर्जन नगर्ने तरल सम्पति अनुपात</t>
  </si>
  <si>
    <t>सदस्य संख्यामा भएको बृद्धि अनुपात</t>
  </si>
  <si>
    <t>कूल सम्पतिमा भएको बृद्धिको अनुपात</t>
  </si>
  <si>
    <t>पद</t>
  </si>
  <si>
    <t>तह</t>
  </si>
  <si>
    <t>संख्या</t>
  </si>
  <si>
    <t>तलव स्केल</t>
  </si>
  <si>
    <t>ग्रेड रकम</t>
  </si>
  <si>
    <t>ग्रेड संख्या</t>
  </si>
  <si>
    <t>जम्मा ग्रेड रकम</t>
  </si>
  <si>
    <t>सदस्य सेवा सहायक</t>
  </si>
  <si>
    <t>सुरक्षा तथा कार्यालय सहयोगी</t>
  </si>
  <si>
    <t>अनुमानित भत्ता विवरण</t>
  </si>
  <si>
    <t>भत्ता दर</t>
  </si>
  <si>
    <t>लक्ष्य</t>
  </si>
  <si>
    <t>एकाई मूल्य</t>
  </si>
  <si>
    <t>खानेपानी खर्च</t>
  </si>
  <si>
    <t>सरसफाई खर्च</t>
  </si>
  <si>
    <t>विजुली खर्च</t>
  </si>
  <si>
    <t>मसलन्द खर्च</t>
  </si>
  <si>
    <t>छपाई खर्च</t>
  </si>
  <si>
    <t>समिति उपसमितिको नाम</t>
  </si>
  <si>
    <t>बैठक संख्या</t>
  </si>
  <si>
    <t>सदस्य संख्या</t>
  </si>
  <si>
    <t>कूल खर्च</t>
  </si>
  <si>
    <t>ह्रासकट्टी दर</t>
  </si>
  <si>
    <t>हालको सम्पति</t>
  </si>
  <si>
    <t>मूल्यह्रासकट्टी आषाढ मसान्त सम्मको</t>
  </si>
  <si>
    <t>आषाढको अनुमानित सम्पति</t>
  </si>
  <si>
    <t>खरिद पौष</t>
  </si>
  <si>
    <t>खरिद चैत्र</t>
  </si>
  <si>
    <t>खरिद आषाढ</t>
  </si>
  <si>
    <t>जम्मा खरिद</t>
  </si>
  <si>
    <t>ह्रासकट्टी</t>
  </si>
  <si>
    <t>बाँकी रकम</t>
  </si>
  <si>
    <t>आ.व. २०८४/०८५</t>
  </si>
  <si>
    <t>संस्थागत पूँजी</t>
  </si>
  <si>
    <t>अन्य कोष</t>
  </si>
  <si>
    <t>बृद्धि तथा जम्मा</t>
  </si>
  <si>
    <t>नगद मौज्दात</t>
  </si>
  <si>
    <t>फरक</t>
  </si>
  <si>
    <t>R12</t>
  </si>
  <si>
    <r>
      <rPr>
        <u/>
        <sz val="10"/>
        <color theme="1"/>
        <rFont val="FONTASY_ HIMALI_ TT"/>
        <family val="5"/>
      </rPr>
      <t xml:space="preserve">v'b cfDbfgL </t>
    </r>
    <r>
      <rPr>
        <u/>
        <sz val="10"/>
        <color theme="1"/>
        <rFont val="Calibri"/>
        <family val="2"/>
      </rPr>
      <t>×</t>
    </r>
    <r>
      <rPr>
        <u/>
        <sz val="10"/>
        <color theme="1"/>
        <rFont val="FONTASY_ HIMALI_ TT"/>
        <family val="5"/>
      </rPr>
      <t xml:space="preserve"> 100</t>
    </r>
    <r>
      <rPr>
        <sz val="10"/>
        <color theme="1"/>
        <rFont val="FONTASY_ HIMALI_ TT"/>
        <family val="5"/>
      </rPr>
      <t xml:space="preserve">
cf}zt s'n ;Dklt</t>
    </r>
  </si>
  <si>
    <t>E8=</t>
  </si>
  <si>
    <t>औषत सम्पतिको अनुपातमा खुद आय</t>
  </si>
  <si>
    <t xml:space="preserve">चालु दायित्व </t>
  </si>
  <si>
    <t>दिर्घकालिन दायित्व तथा ब्यवस्था</t>
  </si>
  <si>
    <t>तलव तथा पर्व खर्च</t>
  </si>
  <si>
    <t>कर्मचारी भत्ता</t>
  </si>
  <si>
    <t>कर्मचारी जीवन विमा</t>
  </si>
  <si>
    <t>कर्मचारी स्वास्थ्य विमा</t>
  </si>
  <si>
    <t>कर्मचारी दुर्घटना विमा</t>
  </si>
  <si>
    <t>सञ्चयकोष</t>
  </si>
  <si>
    <t>सामाजिक सुरक्षा कोष</t>
  </si>
  <si>
    <t>पोषाक खर्च</t>
  </si>
  <si>
    <t>औषधी उपचार खर्च</t>
  </si>
  <si>
    <t>उपदान खर्च</t>
  </si>
  <si>
    <t>१५०.३.१.१.१</t>
  </si>
  <si>
    <t>१५०.३.१.१.२</t>
  </si>
  <si>
    <t>१५०.३.१.१.३</t>
  </si>
  <si>
    <t>१५०.३.१.१.४</t>
  </si>
  <si>
    <t>१५०.३.१.१.५</t>
  </si>
  <si>
    <t>१५०.३.१.१.६</t>
  </si>
  <si>
    <t>१५०.३.१.१.७</t>
  </si>
  <si>
    <t>एकाई मुल्य</t>
  </si>
  <si>
    <t xml:space="preserve"> बचत तथा ऋण सहकारी संस्था लि.</t>
  </si>
  <si>
    <t>ठेगाना</t>
  </si>
  <si>
    <t>खुद बचत</t>
  </si>
  <si>
    <t>s'l;{ 6]jn</t>
  </si>
  <si>
    <t>व्यवस्थापक</t>
  </si>
  <si>
    <t>बजार प्रमुख</t>
  </si>
  <si>
    <t>लेखा सहायक</t>
  </si>
  <si>
    <t>सदस्यसेवा सहायक</t>
  </si>
  <si>
    <t>bb</t>
  </si>
  <si>
    <t>कार्यालय सहायक</t>
  </si>
  <si>
    <t>अघिल्लो आ व को नोक्सान मिलान</t>
  </si>
  <si>
    <t>बचत</t>
  </si>
  <si>
    <t>थप लक्ष्य</t>
  </si>
  <si>
    <t>शेयर</t>
  </si>
  <si>
    <t>सम्पती</t>
  </si>
  <si>
    <t>ऋण लगानी</t>
  </si>
  <si>
    <t xml:space="preserve">आ.व. २०८२/८३ </t>
  </si>
  <si>
    <t>082/083</t>
  </si>
  <si>
    <t>कारोवार बचत</t>
  </si>
  <si>
    <t>;+rfns Ifdtf tflnd</t>
  </si>
  <si>
    <t>;jf/L ;fwg vl/b art</t>
  </si>
  <si>
    <t>hUuf vl/b art</t>
  </si>
  <si>
    <t>u/ uxgf 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</si>
</sst>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[$-4000439]0"/>
    <numFmt numFmtId="165" formatCode="0.0%"/>
    <numFmt numFmtId="166" formatCode="_-* #,##0.00_-;\-* #,##0.00_-;_-* &quot;-&quot;??_-;_-@_-"/>
    <numFmt numFmtId="167" formatCode="_(* #,##0_);_(* \(#,##0\);_(* &quot;-&quot;??_);_(@_)"/>
    <numFmt numFmtId="168" formatCode="[$-4000439]0.#"/>
  </numFmts>
  <fonts count="98" x14ac:knownFonts="1">
    <font>
      <sz val="11"/>
      <color theme="1"/>
      <name val="Calibri"/>
      <family val="2"/>
      <scheme val="minor"/>
    </font>
    <font>
      <sz val="16"/>
      <color theme="1"/>
      <name val="Preeti"/>
    </font>
    <font>
      <b/>
      <sz val="16"/>
      <color theme="1"/>
      <name val="Preeti"/>
    </font>
    <font>
      <b/>
      <sz val="18"/>
      <color theme="1"/>
      <name val="Preeti"/>
    </font>
    <font>
      <sz val="11"/>
      <color theme="1"/>
      <name val="Fontasy Himali"/>
      <family val="5"/>
    </font>
    <font>
      <b/>
      <sz val="20"/>
      <color theme="1"/>
      <name val="Preeti"/>
    </font>
    <font>
      <sz val="18"/>
      <color theme="1"/>
      <name val="Preeti"/>
    </font>
    <font>
      <sz val="14"/>
      <color theme="1"/>
      <name val="Preeti"/>
    </font>
    <font>
      <sz val="14"/>
      <color theme="1"/>
      <name val="Fontasy Himali"/>
      <family val="5"/>
    </font>
    <font>
      <sz val="11"/>
      <color theme="1"/>
      <name val="Calibri"/>
      <family val="2"/>
      <scheme val="minor"/>
    </font>
    <font>
      <sz val="11"/>
      <name val="Preeti"/>
    </font>
    <font>
      <sz val="12"/>
      <name val="Preeti"/>
    </font>
    <font>
      <sz val="11"/>
      <color theme="1"/>
      <name val="Preeti"/>
    </font>
    <font>
      <b/>
      <sz val="20"/>
      <color theme="1"/>
      <name val="Times New Roman"/>
      <family val="1"/>
    </font>
    <font>
      <b/>
      <u/>
      <sz val="18"/>
      <color rgb="FF000000"/>
      <name val="Kokila"/>
      <family val="2"/>
    </font>
    <font>
      <sz val="12"/>
      <name val="Fontasy Himali"/>
      <family val="5"/>
    </font>
    <font>
      <sz val="25"/>
      <name val="Preeti"/>
    </font>
    <font>
      <sz val="11"/>
      <name val="Fontasy Himali"/>
      <family val="5"/>
    </font>
    <font>
      <sz val="12"/>
      <color rgb="FF000000"/>
      <name val="Fontasy Himali"/>
      <family val="5"/>
    </font>
    <font>
      <sz val="12"/>
      <color theme="1"/>
      <name val="Fontasy Himali"/>
      <family val="5"/>
    </font>
    <font>
      <b/>
      <sz val="12"/>
      <color theme="0"/>
      <name val="Fontasy Himali"/>
      <family val="5"/>
    </font>
    <font>
      <b/>
      <sz val="12"/>
      <name val="Fontasy Himali"/>
      <family val="5"/>
    </font>
    <font>
      <b/>
      <sz val="12"/>
      <color theme="1"/>
      <name val="PCS NEPALI"/>
      <family val="5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Fontasy Himali"/>
      <family val="5"/>
    </font>
    <font>
      <b/>
      <sz val="12"/>
      <color theme="1"/>
      <name val="Fontasy Himali"/>
      <family val="5"/>
    </font>
    <font>
      <sz val="11"/>
      <color theme="1"/>
      <name val="PCS NEPAL"/>
      <family val="5"/>
    </font>
    <font>
      <b/>
      <sz val="12"/>
      <color theme="1"/>
      <name val="PCS NEPAL"/>
      <family val="5"/>
    </font>
    <font>
      <sz val="18"/>
      <color theme="1"/>
      <name val="Fontasy Himali"/>
      <family val="5"/>
    </font>
    <font>
      <sz val="15"/>
      <color theme="1"/>
      <name val="Preeti"/>
    </font>
    <font>
      <sz val="12"/>
      <color theme="1"/>
      <name val="Preeti"/>
    </font>
    <font>
      <b/>
      <sz val="14"/>
      <color theme="1"/>
      <name val="Fontasy Himali"/>
      <family val="5"/>
    </font>
    <font>
      <sz val="18"/>
      <color theme="1"/>
      <name val="Calibri"/>
      <family val="2"/>
      <scheme val="minor"/>
    </font>
    <font>
      <sz val="20"/>
      <color theme="1"/>
      <name val="Preeti"/>
    </font>
    <font>
      <sz val="18"/>
      <color theme="1"/>
      <name val="Preeti"/>
      <family val="1"/>
    </font>
    <font>
      <b/>
      <sz val="11"/>
      <color theme="1"/>
      <name val="Fontasy Himali"/>
      <family val="5"/>
    </font>
    <font>
      <b/>
      <sz val="14"/>
      <color theme="1"/>
      <name val="Preeti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Preeti"/>
    </font>
    <font>
      <sz val="13"/>
      <color theme="1"/>
      <name val="PCS NEPAL"/>
      <family val="5"/>
    </font>
    <font>
      <sz val="13"/>
      <color theme="1"/>
      <name val="Fontasy Himali"/>
      <family val="5"/>
    </font>
    <font>
      <b/>
      <sz val="20"/>
      <name val="Times New Roman"/>
      <family val="1"/>
    </font>
    <font>
      <sz val="11"/>
      <name val="Calibri"/>
      <family val="2"/>
      <scheme val="minor"/>
    </font>
    <font>
      <b/>
      <u/>
      <sz val="18"/>
      <name val="Kokila"/>
      <family val="2"/>
    </font>
    <font>
      <sz val="12"/>
      <color theme="1"/>
      <name val="FONTASY_ HIMALI_ TT"/>
      <family val="5"/>
    </font>
    <font>
      <b/>
      <sz val="12"/>
      <name val="FONTASY_ HIMALI_ TT"/>
      <family val="5"/>
    </font>
    <font>
      <u/>
      <sz val="11"/>
      <color theme="10"/>
      <name val="Calibri"/>
      <family val="2"/>
      <scheme val="minor"/>
    </font>
    <font>
      <b/>
      <sz val="12"/>
      <color theme="1"/>
      <name val="FONTASY_ HIMALI_ TT"/>
      <family val="5"/>
    </font>
    <font>
      <b/>
      <sz val="12"/>
      <color theme="1"/>
      <name val="Cambria"/>
      <family val="2"/>
      <scheme val="major"/>
    </font>
    <font>
      <sz val="12"/>
      <color theme="1"/>
      <name val="Cambria"/>
      <family val="2"/>
      <scheme val="major"/>
    </font>
    <font>
      <sz val="10"/>
      <color theme="1"/>
      <name val="FONTASY_ HIMALI_ TT"/>
      <family val="5"/>
    </font>
    <font>
      <u/>
      <sz val="10"/>
      <color theme="1"/>
      <name val="FONTASY_ HIMALI_ TT"/>
      <family val="5"/>
    </font>
    <font>
      <u/>
      <sz val="10"/>
      <color theme="1"/>
      <name val="Calibri"/>
      <family val="2"/>
    </font>
    <font>
      <b/>
      <sz val="12"/>
      <color theme="1"/>
      <name val="Calibri"/>
      <family val="2"/>
    </font>
    <font>
      <u/>
      <sz val="10"/>
      <color theme="1"/>
      <name val="Cambria"/>
      <family val="2"/>
      <scheme val="major"/>
    </font>
    <font>
      <b/>
      <sz val="20"/>
      <color theme="1"/>
      <name val="Kalimati"/>
      <charset val="1"/>
    </font>
    <font>
      <b/>
      <sz val="18"/>
      <color theme="1"/>
      <name val="Kalimati"/>
      <charset val="1"/>
    </font>
    <font>
      <sz val="18"/>
      <color theme="1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color theme="1"/>
      <name val="Calibri"/>
      <family val="2"/>
      <scheme val="minor"/>
    </font>
    <font>
      <sz val="14"/>
      <name val="Kokila"/>
      <family val="2"/>
    </font>
    <font>
      <sz val="13"/>
      <name val="Fontasy Himali"/>
      <family val="5"/>
    </font>
    <font>
      <b/>
      <sz val="14"/>
      <name val="Kokila"/>
      <family val="2"/>
    </font>
    <font>
      <b/>
      <sz val="13"/>
      <name val="Fontasy Himali"/>
      <family val="5"/>
    </font>
    <font>
      <sz val="20"/>
      <name val="Preeti"/>
    </font>
    <font>
      <b/>
      <sz val="20"/>
      <name val="Kokila"/>
      <family val="2"/>
    </font>
    <font>
      <b/>
      <sz val="16"/>
      <color theme="1"/>
      <name val="Kokila"/>
      <family val="2"/>
    </font>
    <font>
      <b/>
      <sz val="16"/>
      <name val="Kokila"/>
      <family val="2"/>
    </font>
    <font>
      <b/>
      <sz val="18"/>
      <color theme="1"/>
      <name val="Kokila"/>
      <family val="2"/>
    </font>
    <font>
      <b/>
      <sz val="20"/>
      <color theme="1"/>
      <name val="Kokila"/>
      <family val="2"/>
    </font>
    <font>
      <sz val="11"/>
      <color theme="1"/>
      <name val="Kokila"/>
      <family val="2"/>
    </font>
    <font>
      <b/>
      <sz val="11"/>
      <color theme="1"/>
      <name val="Kokila"/>
      <family val="2"/>
    </font>
    <font>
      <sz val="16"/>
      <color theme="1"/>
      <name val="Kokila"/>
      <family val="2"/>
    </font>
    <font>
      <sz val="11"/>
      <name val="Kokila"/>
      <family val="2"/>
    </font>
    <font>
      <sz val="16"/>
      <name val="Kokila"/>
      <family val="2"/>
    </font>
    <font>
      <sz val="20"/>
      <name val="Kokila"/>
      <family val="2"/>
    </font>
    <font>
      <b/>
      <sz val="13"/>
      <color theme="1"/>
      <name val="Kokila"/>
      <family val="2"/>
    </font>
    <font>
      <sz val="18"/>
      <color theme="1"/>
      <name val="Kokila"/>
      <family val="2"/>
    </font>
    <font>
      <b/>
      <sz val="14"/>
      <color theme="1"/>
      <name val="Kokila"/>
      <family val="2"/>
    </font>
    <font>
      <b/>
      <sz val="16"/>
      <color theme="0"/>
      <name val="Kokila"/>
      <family val="2"/>
    </font>
    <font>
      <sz val="16"/>
      <color rgb="FF000000"/>
      <name val="Kokila"/>
      <family val="2"/>
    </font>
    <font>
      <sz val="12"/>
      <color theme="1"/>
      <name val="Kokila"/>
      <family val="2"/>
    </font>
    <font>
      <sz val="14"/>
      <color theme="1"/>
      <name val="Kokila"/>
      <family val="2"/>
    </font>
    <font>
      <b/>
      <sz val="12"/>
      <color theme="1"/>
      <name val="Kokila"/>
      <family val="2"/>
    </font>
    <font>
      <sz val="14"/>
      <color rgb="FF000000"/>
      <name val="Kokila"/>
      <family val="2"/>
    </font>
    <font>
      <sz val="14"/>
      <color rgb="FF000000"/>
      <name val="Preeti"/>
    </font>
    <font>
      <b/>
      <sz val="18"/>
      <color theme="1"/>
      <name val="Fontasy Himali"/>
      <family val="5"/>
    </font>
    <font>
      <b/>
      <sz val="12"/>
      <color rgb="FF000000"/>
      <name val="Fontasy Himali"/>
      <family val="5"/>
    </font>
    <font>
      <sz val="22"/>
      <color theme="1"/>
      <name val="Kokila"/>
      <family val="2"/>
    </font>
    <font>
      <u/>
      <sz val="22"/>
      <name val="Kokila"/>
      <family val="2"/>
    </font>
    <font>
      <sz val="22"/>
      <name val="Kokila"/>
      <family val="2"/>
    </font>
    <font>
      <sz val="16"/>
      <color theme="1"/>
      <name val="Fontasy Himali"/>
      <family val="5"/>
    </font>
    <font>
      <sz val="16"/>
      <color theme="1"/>
      <name val="PCS NEPAL"/>
      <family val="5"/>
    </font>
    <font>
      <sz val="15"/>
      <color theme="1"/>
      <name val="PCS NEPAL"/>
      <family val="5"/>
    </font>
    <font>
      <sz val="17"/>
      <color theme="1"/>
      <name val="Fontasy Himali"/>
      <family val="5"/>
    </font>
  </fonts>
  <fills count="1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8" fillId="0" borderId="0" applyNumberFormat="0" applyFill="0" applyBorder="0" applyAlignment="0" applyProtection="0"/>
  </cellStyleXfs>
  <cellXfs count="503">
    <xf numFmtId="0" fontId="0" fillId="0" borderId="0" xfId="0"/>
    <xf numFmtId="0" fontId="11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/>
    <xf numFmtId="0" fontId="10" fillId="0" borderId="0" xfId="0" applyFont="1" applyProtection="1">
      <protection locked="0"/>
    </xf>
    <xf numFmtId="2" fontId="11" fillId="0" borderId="0" xfId="0" applyNumberFormat="1" applyFont="1" applyProtection="1">
      <protection locked="0"/>
    </xf>
    <xf numFmtId="2" fontId="17" fillId="0" borderId="1" xfId="0" applyNumberFormat="1" applyFont="1" applyBorder="1" applyProtection="1">
      <protection locked="0"/>
    </xf>
    <xf numFmtId="2" fontId="15" fillId="0" borderId="1" xfId="0" applyNumberFormat="1" applyFont="1" applyBorder="1" applyProtection="1">
      <protection locked="0"/>
    </xf>
    <xf numFmtId="0" fontId="27" fillId="0" borderId="6" xfId="0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2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6" fillId="0" borderId="1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29" fillId="0" borderId="1" xfId="0" applyFont="1" applyBorder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24" xfId="0" applyFont="1" applyBorder="1" applyAlignment="1" applyProtection="1">
      <alignment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right" vertical="center" wrapText="1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23" fillId="0" borderId="1" xfId="0" applyFont="1" applyBorder="1" applyProtection="1">
      <protection locked="0"/>
    </xf>
    <xf numFmtId="0" fontId="23" fillId="0" borderId="0" xfId="0" applyFont="1" applyProtection="1">
      <protection locked="0"/>
    </xf>
    <xf numFmtId="0" fontId="6" fillId="0" borderId="4" xfId="0" applyFont="1" applyBorder="1" applyAlignment="1" applyProtection="1">
      <alignment vertical="center"/>
      <protection locked="0"/>
    </xf>
    <xf numFmtId="0" fontId="26" fillId="9" borderId="6" xfId="0" applyFont="1" applyFill="1" applyBorder="1" applyAlignment="1" applyProtection="1">
      <alignment vertical="center"/>
      <protection locked="0"/>
    </xf>
    <xf numFmtId="0" fontId="6" fillId="0" borderId="24" xfId="0" applyFont="1" applyBorder="1" applyAlignment="1" applyProtection="1">
      <alignment vertical="center" wrapText="1"/>
      <protection locked="0"/>
    </xf>
    <xf numFmtId="0" fontId="30" fillId="0" borderId="0" xfId="0" applyFont="1" applyProtection="1">
      <protection locked="0"/>
    </xf>
    <xf numFmtId="0" fontId="7" fillId="0" borderId="1" xfId="0" applyFont="1" applyBorder="1" applyProtection="1">
      <protection locked="0"/>
    </xf>
    <xf numFmtId="0" fontId="19" fillId="5" borderId="1" xfId="0" applyFont="1" applyFill="1" applyBorder="1"/>
    <xf numFmtId="0" fontId="19" fillId="0" borderId="1" xfId="0" applyFont="1" applyBorder="1" applyAlignment="1" applyProtection="1">
      <alignment horizontal="center" vertical="center"/>
      <protection locked="0"/>
    </xf>
    <xf numFmtId="0" fontId="31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19" fillId="0" borderId="1" xfId="0" applyFont="1" applyBorder="1" applyProtection="1">
      <protection locked="0"/>
    </xf>
    <xf numFmtId="0" fontId="33" fillId="0" borderId="0" xfId="0" applyFont="1" applyProtection="1"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vertical="center" textRotation="90"/>
      <protection locked="0"/>
    </xf>
    <xf numFmtId="0" fontId="4" fillId="0" borderId="1" xfId="0" applyFont="1" applyBorder="1" applyAlignment="1" applyProtection="1">
      <alignment horizontal="right"/>
      <protection locked="0"/>
    </xf>
    <xf numFmtId="0" fontId="32" fillId="0" borderId="1" xfId="0" applyFont="1" applyBorder="1" applyAlignment="1" applyProtection="1">
      <alignment horizontal="right"/>
      <protection locked="0"/>
    </xf>
    <xf numFmtId="0" fontId="36" fillId="0" borderId="1" xfId="0" applyFont="1" applyBorder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6" fillId="0" borderId="4" xfId="0" applyFont="1" applyBorder="1" applyAlignment="1" applyProtection="1">
      <alignment vertical="center" wrapText="1"/>
      <protection locked="0"/>
    </xf>
    <xf numFmtId="0" fontId="37" fillId="0" borderId="1" xfId="0" applyFont="1" applyBorder="1" applyProtection="1"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3" fillId="0" borderId="0" xfId="0" applyFont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19" fillId="0" borderId="0" xfId="0" applyFont="1" applyProtection="1"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vertical="center"/>
      <protection locked="0"/>
    </xf>
    <xf numFmtId="0" fontId="41" fillId="0" borderId="0" xfId="0" applyFont="1" applyProtection="1">
      <protection locked="0"/>
    </xf>
    <xf numFmtId="0" fontId="41" fillId="0" borderId="1" xfId="0" applyFont="1" applyBorder="1" applyProtection="1">
      <protection locked="0"/>
    </xf>
    <xf numFmtId="9" fontId="42" fillId="0" borderId="1" xfId="2" applyFont="1" applyFill="1" applyBorder="1" applyProtection="1">
      <protection locked="0"/>
    </xf>
    <xf numFmtId="0" fontId="42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9" fontId="15" fillId="0" borderId="1" xfId="2" applyFont="1" applyFill="1" applyBorder="1" applyAlignment="1" applyProtection="1">
      <alignment horizontal="center" vertical="center"/>
      <protection locked="0"/>
    </xf>
    <xf numFmtId="9" fontId="21" fillId="0" borderId="2" xfId="2" applyFont="1" applyFill="1" applyBorder="1" applyAlignment="1" applyProtection="1">
      <alignment horizontal="center"/>
      <protection locked="0"/>
    </xf>
    <xf numFmtId="43" fontId="21" fillId="5" borderId="1" xfId="1" applyFont="1" applyFill="1" applyBorder="1" applyAlignment="1" applyProtection="1">
      <alignment horizontal="center"/>
    </xf>
    <xf numFmtId="10" fontId="15" fillId="5" borderId="1" xfId="2" applyNumberFormat="1" applyFont="1" applyFill="1" applyBorder="1" applyAlignment="1" applyProtection="1">
      <alignment horizontal="center" vertical="center"/>
    </xf>
    <xf numFmtId="43" fontId="15" fillId="5" borderId="1" xfId="1" applyFont="1" applyFill="1" applyBorder="1" applyAlignment="1" applyProtection="1">
      <alignment horizontal="center"/>
    </xf>
    <xf numFmtId="10" fontId="15" fillId="5" borderId="1" xfId="2" applyNumberFormat="1" applyFont="1" applyFill="1" applyBorder="1" applyAlignment="1" applyProtection="1">
      <alignment horizontal="center"/>
    </xf>
    <xf numFmtId="10" fontId="15" fillId="5" borderId="2" xfId="2" applyNumberFormat="1" applyFont="1" applyFill="1" applyBorder="1" applyProtection="1"/>
    <xf numFmtId="43" fontId="15" fillId="5" borderId="1" xfId="1" applyFont="1" applyFill="1" applyBorder="1" applyProtection="1"/>
    <xf numFmtId="43" fontId="15" fillId="5" borderId="2" xfId="1" applyFont="1" applyFill="1" applyBorder="1" applyProtection="1"/>
    <xf numFmtId="0" fontId="44" fillId="0" borderId="0" xfId="0" applyFont="1" applyProtection="1">
      <protection locked="0"/>
    </xf>
    <xf numFmtId="2" fontId="15" fillId="0" borderId="4" xfId="0" applyNumberFormat="1" applyFont="1" applyBorder="1" applyAlignment="1" applyProtection="1">
      <alignment vertical="center"/>
      <protection locked="0"/>
    </xf>
    <xf numFmtId="10" fontId="15" fillId="0" borderId="1" xfId="2" applyNumberFormat="1" applyFont="1" applyBorder="1" applyAlignment="1" applyProtection="1">
      <alignment horizontal="center" vertical="center"/>
      <protection locked="0"/>
    </xf>
    <xf numFmtId="10" fontId="15" fillId="0" borderId="2" xfId="2" applyNumberFormat="1" applyFont="1" applyBorder="1" applyAlignment="1" applyProtection="1">
      <alignment horizontal="center"/>
      <protection locked="0"/>
    </xf>
    <xf numFmtId="10" fontId="15" fillId="0" borderId="2" xfId="2" applyNumberFormat="1" applyFont="1" applyFill="1" applyBorder="1" applyAlignment="1" applyProtection="1">
      <alignment horizontal="center"/>
      <protection locked="0"/>
    </xf>
    <xf numFmtId="10" fontId="15" fillId="0" borderId="1" xfId="2" applyNumberFormat="1" applyFont="1" applyBorder="1" applyAlignment="1" applyProtection="1">
      <alignment horizontal="center"/>
      <protection locked="0"/>
    </xf>
    <xf numFmtId="10" fontId="15" fillId="0" borderId="2" xfId="2" applyNumberFormat="1" applyFont="1" applyFill="1" applyBorder="1" applyProtection="1">
      <protection locked="0"/>
    </xf>
    <xf numFmtId="10" fontId="15" fillId="0" borderId="1" xfId="2" applyNumberFormat="1" applyFont="1" applyFill="1" applyBorder="1" applyAlignment="1" applyProtection="1">
      <alignment horizontal="center"/>
      <protection locked="0"/>
    </xf>
    <xf numFmtId="10" fontId="15" fillId="0" borderId="2" xfId="2" applyNumberFormat="1" applyFont="1" applyBorder="1" applyProtection="1"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43" fontId="21" fillId="0" borderId="2" xfId="1" applyFont="1" applyFill="1" applyBorder="1" applyAlignment="1" applyProtection="1">
      <alignment horizontal="center"/>
      <protection locked="0"/>
    </xf>
    <xf numFmtId="10" fontId="17" fillId="5" borderId="1" xfId="2" applyNumberFormat="1" applyFont="1" applyFill="1" applyBorder="1" applyAlignment="1" applyProtection="1"/>
    <xf numFmtId="9" fontId="19" fillId="5" borderId="1" xfId="2" applyFont="1" applyFill="1" applyBorder="1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19" fillId="0" borderId="1" xfId="0" applyFont="1" applyBorder="1" applyAlignment="1" applyProtection="1">
      <alignment vertical="center"/>
      <protection locked="0"/>
    </xf>
    <xf numFmtId="9" fontId="19" fillId="0" borderId="1" xfId="2" applyFont="1" applyBorder="1" applyAlignment="1" applyProtection="1">
      <alignment vertical="center"/>
      <protection locked="0"/>
    </xf>
    <xf numFmtId="0" fontId="19" fillId="0" borderId="28" xfId="0" applyFont="1" applyBorder="1" applyAlignment="1" applyProtection="1">
      <alignment vertical="center"/>
      <protection locked="0"/>
    </xf>
    <xf numFmtId="9" fontId="19" fillId="0" borderId="28" xfId="2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43" fontId="8" fillId="0" borderId="1" xfId="0" applyNumberFormat="1" applyFont="1" applyBorder="1" applyAlignment="1" applyProtection="1">
      <alignment horizontal="right" vertical="center" wrapText="1"/>
      <protection locked="0"/>
    </xf>
    <xf numFmtId="0" fontId="45" fillId="4" borderId="20" xfId="0" applyFont="1" applyFill="1" applyBorder="1" applyProtection="1">
      <protection locked="0"/>
    </xf>
    <xf numFmtId="0" fontId="45" fillId="4" borderId="21" xfId="0" applyFont="1" applyFill="1" applyBorder="1" applyProtection="1">
      <protection locked="0"/>
    </xf>
    <xf numFmtId="0" fontId="45" fillId="4" borderId="22" xfId="0" applyFont="1" applyFill="1" applyBorder="1" applyProtection="1">
      <protection locked="0"/>
    </xf>
    <xf numFmtId="0" fontId="45" fillId="4" borderId="3" xfId="0" applyFont="1" applyFill="1" applyBorder="1" applyProtection="1">
      <protection locked="0"/>
    </xf>
    <xf numFmtId="0" fontId="6" fillId="0" borderId="17" xfId="0" applyFont="1" applyBorder="1" applyAlignment="1" applyProtection="1">
      <alignment vertical="center"/>
      <protection locked="0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left" vertical="center" wrapText="1"/>
      <protection locked="0"/>
    </xf>
    <xf numFmtId="10" fontId="15" fillId="5" borderId="2" xfId="2" applyNumberFormat="1" applyFont="1" applyFill="1" applyBorder="1" applyAlignment="1" applyProtection="1">
      <alignment horizontal="center"/>
    </xf>
    <xf numFmtId="0" fontId="59" fillId="0" borderId="0" xfId="0" applyFont="1"/>
    <xf numFmtId="165" fontId="8" fillId="0" borderId="1" xfId="2" applyNumberFormat="1" applyFont="1" applyBorder="1" applyAlignment="1" applyProtection="1">
      <alignment horizontal="right" vertical="center"/>
      <protection locked="0"/>
    </xf>
    <xf numFmtId="165" fontId="19" fillId="0" borderId="1" xfId="2" applyNumberFormat="1" applyFont="1" applyFill="1" applyBorder="1" applyProtection="1">
      <protection locked="0"/>
    </xf>
    <xf numFmtId="0" fontId="26" fillId="0" borderId="28" xfId="0" applyFont="1" applyBorder="1" applyAlignment="1" applyProtection="1">
      <alignment horizontal="center"/>
      <protection locked="0"/>
    </xf>
    <xf numFmtId="9" fontId="8" fillId="0" borderId="1" xfId="2" applyFont="1" applyBorder="1" applyAlignment="1" applyProtection="1">
      <alignment horizontal="center" vertical="center" wrapText="1"/>
      <protection locked="0"/>
    </xf>
    <xf numFmtId="0" fontId="8" fillId="5" borderId="1" xfId="0" applyFont="1" applyFill="1" applyBorder="1" applyAlignment="1">
      <alignment horizontal="center" vertical="center" wrapText="1"/>
    </xf>
    <xf numFmtId="43" fontId="26" fillId="5" borderId="28" xfId="0" applyNumberFormat="1" applyFont="1" applyFill="1" applyBorder="1" applyAlignment="1">
      <alignment horizontal="center"/>
    </xf>
    <xf numFmtId="0" fontId="22" fillId="0" borderId="27" xfId="0" applyFont="1" applyBorder="1" applyAlignment="1" applyProtection="1">
      <alignment horizontal="center" vertical="center"/>
      <protection locked="0"/>
    </xf>
    <xf numFmtId="43" fontId="19" fillId="5" borderId="1" xfId="0" applyNumberFormat="1" applyFont="1" applyFill="1" applyBorder="1"/>
    <xf numFmtId="0" fontId="47" fillId="5" borderId="1" xfId="0" applyFont="1" applyFill="1" applyBorder="1" applyProtection="1">
      <protection locked="0"/>
    </xf>
    <xf numFmtId="0" fontId="47" fillId="5" borderId="2" xfId="0" applyFont="1" applyFill="1" applyBorder="1" applyProtection="1">
      <protection locked="0"/>
    </xf>
    <xf numFmtId="9" fontId="19" fillId="0" borderId="1" xfId="2" applyFont="1" applyBorder="1" applyProtection="1">
      <protection locked="0"/>
    </xf>
    <xf numFmtId="9" fontId="19" fillId="5" borderId="1" xfId="2" applyFont="1" applyFill="1" applyBorder="1" applyProtection="1">
      <protection locked="0"/>
    </xf>
    <xf numFmtId="165" fontId="19" fillId="0" borderId="1" xfId="2" applyNumberFormat="1" applyFont="1" applyBorder="1" applyProtection="1">
      <protection locked="0"/>
    </xf>
    <xf numFmtId="9" fontId="15" fillId="5" borderId="1" xfId="2" applyFont="1" applyFill="1" applyBorder="1" applyProtection="1">
      <protection locked="0"/>
    </xf>
    <xf numFmtId="0" fontId="46" fillId="5" borderId="28" xfId="0" applyFont="1" applyFill="1" applyBorder="1" applyProtection="1">
      <protection locked="0"/>
    </xf>
    <xf numFmtId="1" fontId="19" fillId="0" borderId="0" xfId="0" applyNumberFormat="1" applyFont="1" applyProtection="1">
      <protection locked="0"/>
    </xf>
    <xf numFmtId="0" fontId="46" fillId="0" borderId="0" xfId="0" applyFont="1" applyProtection="1">
      <protection locked="0"/>
    </xf>
    <xf numFmtId="0" fontId="50" fillId="5" borderId="1" xfId="0" applyFont="1" applyFill="1" applyBorder="1" applyAlignment="1" applyProtection="1">
      <alignment horizontal="center" vertical="center"/>
      <protection locked="0"/>
    </xf>
    <xf numFmtId="0" fontId="49" fillId="5" borderId="18" xfId="0" applyFont="1" applyFill="1" applyBorder="1" applyAlignment="1" applyProtection="1">
      <alignment horizontal="center" vertical="center"/>
      <protection locked="0"/>
    </xf>
    <xf numFmtId="0" fontId="49" fillId="0" borderId="0" xfId="0" applyFont="1" applyAlignment="1" applyProtection="1">
      <alignment horizontal="center"/>
      <protection locked="0"/>
    </xf>
    <xf numFmtId="0" fontId="51" fillId="0" borderId="0" xfId="0" applyFont="1" applyProtection="1">
      <protection locked="0"/>
    </xf>
    <xf numFmtId="0" fontId="50" fillId="0" borderId="0" xfId="0" applyFont="1" applyProtection="1">
      <protection locked="0"/>
    </xf>
    <xf numFmtId="0" fontId="26" fillId="0" borderId="0" xfId="0" applyFont="1" applyProtection="1">
      <protection locked="0"/>
    </xf>
    <xf numFmtId="0" fontId="8" fillId="5" borderId="1" xfId="0" applyFont="1" applyFill="1" applyBorder="1" applyProtection="1">
      <protection locked="0"/>
    </xf>
    <xf numFmtId="0" fontId="8" fillId="5" borderId="1" xfId="0" applyFont="1" applyFill="1" applyBorder="1" applyAlignment="1" applyProtection="1">
      <alignment horizontal="right" vertical="center" wrapText="1"/>
      <protection locked="0"/>
    </xf>
    <xf numFmtId="0" fontId="8" fillId="5" borderId="1" xfId="0" applyFont="1" applyFill="1" applyBorder="1" applyAlignment="1">
      <alignment horizontal="right" vertical="center" wrapText="1"/>
    </xf>
    <xf numFmtId="0" fontId="25" fillId="5" borderId="1" xfId="0" applyFont="1" applyFill="1" applyBorder="1" applyAlignment="1">
      <alignment horizontal="center"/>
    </xf>
    <xf numFmtId="0" fontId="19" fillId="5" borderId="1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right" vertical="center" wrapText="1"/>
    </xf>
    <xf numFmtId="0" fontId="19" fillId="0" borderId="1" xfId="0" applyFont="1" applyBorder="1"/>
    <xf numFmtId="0" fontId="19" fillId="0" borderId="1" xfId="0" applyFont="1" applyBorder="1" applyAlignment="1" applyProtection="1">
      <alignment horizontal="center"/>
      <protection locked="0"/>
    </xf>
    <xf numFmtId="0" fontId="19" fillId="5" borderId="1" xfId="0" applyFont="1" applyFill="1" applyBorder="1" applyAlignment="1">
      <alignment horizontal="center"/>
    </xf>
    <xf numFmtId="0" fontId="62" fillId="0" borderId="0" xfId="0" applyFont="1" applyAlignment="1" applyProtection="1">
      <alignment horizontal="center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/>
    </xf>
    <xf numFmtId="0" fontId="25" fillId="5" borderId="1" xfId="0" applyFont="1" applyFill="1" applyBorder="1" applyAlignment="1">
      <alignment horizontal="right"/>
    </xf>
    <xf numFmtId="0" fontId="25" fillId="5" borderId="1" xfId="0" applyFont="1" applyFill="1" applyBorder="1" applyAlignment="1">
      <alignment horizontal="right" vertical="center"/>
    </xf>
    <xf numFmtId="0" fontId="8" fillId="5" borderId="1" xfId="0" applyFont="1" applyFill="1" applyBorder="1" applyAlignment="1">
      <alignment horizontal="right" vertical="center"/>
    </xf>
    <xf numFmtId="43" fontId="8" fillId="5" borderId="1" xfId="0" applyNumberFormat="1" applyFont="1" applyFill="1" applyBorder="1" applyAlignment="1">
      <alignment horizontal="right" vertical="center"/>
    </xf>
    <xf numFmtId="2" fontId="8" fillId="5" borderId="1" xfId="0" applyNumberFormat="1" applyFont="1" applyFill="1" applyBorder="1" applyAlignment="1">
      <alignment horizontal="center" vertical="center" wrapText="1"/>
    </xf>
    <xf numFmtId="0" fontId="19" fillId="0" borderId="1" xfId="2" applyNumberFormat="1" applyFont="1" applyBorder="1" applyAlignment="1" applyProtection="1">
      <alignment horizontal="center" vertical="center" wrapText="1"/>
      <protection locked="0"/>
    </xf>
    <xf numFmtId="43" fontId="19" fillId="5" borderId="1" xfId="0" applyNumberFormat="1" applyFont="1" applyFill="1" applyBorder="1" applyAlignment="1">
      <alignment horizontal="center" vertical="center" wrapText="1"/>
    </xf>
    <xf numFmtId="9" fontId="19" fillId="0" borderId="1" xfId="2" applyFont="1" applyBorder="1" applyAlignment="1" applyProtection="1">
      <alignment horizontal="center" vertical="center" wrapText="1"/>
      <protection locked="0"/>
    </xf>
    <xf numFmtId="43" fontId="0" fillId="0" borderId="0" xfId="0" applyNumberFormat="1" applyProtection="1">
      <protection locked="0"/>
    </xf>
    <xf numFmtId="43" fontId="0" fillId="0" borderId="0" xfId="1" applyFont="1" applyProtection="1">
      <protection locked="0"/>
    </xf>
    <xf numFmtId="2" fontId="0" fillId="0" borderId="0" xfId="0" applyNumberFormat="1" applyProtection="1">
      <protection locked="0"/>
    </xf>
    <xf numFmtId="0" fontId="6" fillId="0" borderId="6" xfId="0" applyFont="1" applyBorder="1" applyProtection="1">
      <protection locked="0"/>
    </xf>
    <xf numFmtId="0" fontId="0" fillId="0" borderId="6" xfId="0" applyBorder="1" applyProtection="1">
      <protection locked="0"/>
    </xf>
    <xf numFmtId="10" fontId="32" fillId="0" borderId="6" xfId="2" applyNumberFormat="1" applyFont="1" applyBorder="1" applyProtection="1">
      <protection locked="0"/>
    </xf>
    <xf numFmtId="2" fontId="0" fillId="0" borderId="6" xfId="0" applyNumberFormat="1" applyBorder="1" applyProtection="1">
      <protection locked="0"/>
    </xf>
    <xf numFmtId="167" fontId="8" fillId="5" borderId="1" xfId="0" applyNumberFormat="1" applyFont="1" applyFill="1" applyBorder="1" applyAlignment="1">
      <alignment horizontal="center" vertical="center" wrapText="1"/>
    </xf>
    <xf numFmtId="0" fontId="63" fillId="0" borderId="1" xfId="0" applyFont="1" applyBorder="1" applyAlignment="1" applyProtection="1">
      <alignment vertical="center"/>
      <protection locked="0"/>
    </xf>
    <xf numFmtId="0" fontId="63" fillId="4" borderId="1" xfId="0" applyFont="1" applyFill="1" applyBorder="1" applyAlignment="1" applyProtection="1">
      <alignment vertical="center"/>
      <protection locked="0"/>
    </xf>
    <xf numFmtId="43" fontId="64" fillId="4" borderId="1" xfId="1" applyFont="1" applyFill="1" applyBorder="1" applyProtection="1">
      <protection locked="0"/>
    </xf>
    <xf numFmtId="43" fontId="66" fillId="4" borderId="1" xfId="1" applyFont="1" applyFill="1" applyBorder="1" applyProtection="1">
      <protection locked="0"/>
    </xf>
    <xf numFmtId="0" fontId="63" fillId="0" borderId="1" xfId="0" applyFont="1" applyBorder="1" applyAlignment="1" applyProtection="1">
      <alignment horizontal="left" vertical="center" indent="2"/>
      <protection locked="0"/>
    </xf>
    <xf numFmtId="43" fontId="64" fillId="0" borderId="1" xfId="1" applyFont="1" applyBorder="1" applyProtection="1">
      <protection locked="0"/>
    </xf>
    <xf numFmtId="0" fontId="65" fillId="5" borderId="1" xfId="0" applyFont="1" applyFill="1" applyBorder="1" applyProtection="1">
      <protection locked="0"/>
    </xf>
    <xf numFmtId="0" fontId="65" fillId="5" borderId="1" xfId="0" applyFont="1" applyFill="1" applyBorder="1" applyAlignment="1" applyProtection="1">
      <alignment vertical="center"/>
      <protection locked="0"/>
    </xf>
    <xf numFmtId="43" fontId="64" fillId="5" borderId="1" xfId="1" applyFont="1" applyFill="1" applyBorder="1" applyProtection="1"/>
    <xf numFmtId="43" fontId="66" fillId="5" borderId="1" xfId="1" applyFont="1" applyFill="1" applyBorder="1" applyProtection="1"/>
    <xf numFmtId="43" fontId="15" fillId="5" borderId="1" xfId="1" applyFont="1" applyFill="1" applyBorder="1" applyAlignment="1" applyProtection="1">
      <alignment horizontal="center"/>
      <protection locked="0"/>
    </xf>
    <xf numFmtId="10" fontId="15" fillId="5" borderId="1" xfId="2" applyNumberFormat="1" applyFont="1" applyFill="1" applyBorder="1" applyAlignment="1" applyProtection="1">
      <alignment horizontal="center"/>
      <protection locked="0"/>
    </xf>
    <xf numFmtId="0" fontId="6" fillId="0" borderId="24" xfId="0" applyFont="1" applyBorder="1" applyAlignment="1">
      <alignment vertical="center"/>
    </xf>
    <xf numFmtId="9" fontId="26" fillId="0" borderId="26" xfId="2" applyFont="1" applyBorder="1" applyAlignment="1" applyProtection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5" borderId="1" xfId="0" applyFont="1" applyFill="1" applyBorder="1" applyAlignment="1">
      <alignment horizontal="center" vertical="center" wrapText="1"/>
    </xf>
    <xf numFmtId="9" fontId="19" fillId="0" borderId="4" xfId="2" applyFont="1" applyBorder="1" applyAlignment="1" applyProtection="1">
      <alignment horizontal="center" vertical="center"/>
    </xf>
    <xf numFmtId="0" fontId="6" fillId="0" borderId="24" xfId="0" applyFont="1" applyBorder="1" applyAlignment="1">
      <alignment vertical="center" wrapText="1"/>
    </xf>
    <xf numFmtId="0" fontId="19" fillId="5" borderId="1" xfId="0" applyFont="1" applyFill="1" applyBorder="1" applyAlignment="1">
      <alignment horizontal="right"/>
    </xf>
    <xf numFmtId="0" fontId="40" fillId="0" borderId="1" xfId="0" applyFont="1" applyBorder="1" applyAlignment="1">
      <alignment horizontal="left" vertical="center"/>
    </xf>
    <xf numFmtId="9" fontId="36" fillId="0" borderId="1" xfId="2" applyFont="1" applyBorder="1" applyAlignment="1" applyProtection="1">
      <alignment horizontal="center" vertical="center"/>
    </xf>
    <xf numFmtId="0" fontId="36" fillId="5" borderId="1" xfId="0" applyFont="1" applyFill="1" applyBorder="1" applyAlignment="1">
      <alignment horizontal="center"/>
    </xf>
    <xf numFmtId="0" fontId="23" fillId="0" borderId="0" xfId="0" applyFont="1"/>
    <xf numFmtId="0" fontId="37" fillId="0" borderId="0" xfId="0" applyFont="1"/>
    <xf numFmtId="0" fontId="23" fillId="0" borderId="0" xfId="0" applyFont="1" applyAlignment="1">
      <alignment horizontal="center"/>
    </xf>
    <xf numFmtId="0" fontId="19" fillId="0" borderId="0" xfId="0" applyFont="1"/>
    <xf numFmtId="0" fontId="67" fillId="0" borderId="0" xfId="0" applyFont="1" applyProtection="1">
      <protection locked="0"/>
    </xf>
    <xf numFmtId="0" fontId="74" fillId="0" borderId="0" xfId="0" applyFont="1"/>
    <xf numFmtId="0" fontId="69" fillId="5" borderId="6" xfId="0" applyFont="1" applyFill="1" applyBorder="1" applyAlignment="1" applyProtection="1">
      <alignment horizontal="center"/>
      <protection locked="0"/>
    </xf>
    <xf numFmtId="0" fontId="75" fillId="0" borderId="0" xfId="0" applyFont="1" applyAlignment="1" applyProtection="1">
      <alignment horizontal="center"/>
      <protection locked="0"/>
    </xf>
    <xf numFmtId="0" fontId="76" fillId="0" borderId="0" xfId="0" applyFont="1" applyProtection="1">
      <protection locked="0"/>
    </xf>
    <xf numFmtId="0" fontId="70" fillId="5" borderId="6" xfId="0" applyFont="1" applyFill="1" applyBorder="1" applyAlignment="1" applyProtection="1">
      <alignment horizontal="center"/>
      <protection locked="0"/>
    </xf>
    <xf numFmtId="0" fontId="65" fillId="5" borderId="6" xfId="0" applyFont="1" applyFill="1" applyBorder="1" applyAlignment="1" applyProtection="1">
      <alignment horizontal="center" wrapText="1"/>
      <protection locked="0"/>
    </xf>
    <xf numFmtId="164" fontId="70" fillId="5" borderId="6" xfId="0" applyNumberFormat="1" applyFont="1" applyFill="1" applyBorder="1" applyAlignment="1" applyProtection="1">
      <alignment horizontal="center" wrapText="1"/>
      <protection locked="0"/>
    </xf>
    <xf numFmtId="0" fontId="77" fillId="0" borderId="17" xfId="0" applyFont="1" applyBorder="1" applyAlignment="1" applyProtection="1">
      <alignment vertical="center"/>
      <protection locked="0"/>
    </xf>
    <xf numFmtId="0" fontId="70" fillId="0" borderId="17" xfId="0" applyFont="1" applyBorder="1" applyAlignment="1" applyProtection="1">
      <alignment horizontal="center" vertical="center"/>
      <protection locked="0"/>
    </xf>
    <xf numFmtId="0" fontId="79" fillId="5" borderId="1" xfId="0" applyFont="1" applyFill="1" applyBorder="1" applyAlignment="1" applyProtection="1">
      <alignment horizontal="center" vertical="center"/>
      <protection locked="0"/>
    </xf>
    <xf numFmtId="0" fontId="79" fillId="5" borderId="1" xfId="0" applyFont="1" applyFill="1" applyBorder="1" applyAlignment="1" applyProtection="1">
      <alignment horizontal="center" vertical="center" wrapText="1"/>
      <protection locked="0"/>
    </xf>
    <xf numFmtId="0" fontId="79" fillId="0" borderId="0" xfId="0" applyFont="1" applyAlignment="1" applyProtection="1">
      <alignment horizontal="center" vertical="center"/>
      <protection locked="0"/>
    </xf>
    <xf numFmtId="0" fontId="69" fillId="5" borderId="9" xfId="0" applyFont="1" applyFill="1" applyBorder="1" applyAlignment="1" applyProtection="1">
      <alignment horizontal="center" vertical="center"/>
      <protection locked="0"/>
    </xf>
    <xf numFmtId="0" fontId="73" fillId="0" borderId="0" xfId="0" applyFont="1" applyAlignment="1" applyProtection="1">
      <alignment vertical="center"/>
      <protection locked="0"/>
    </xf>
    <xf numFmtId="0" fontId="75" fillId="0" borderId="17" xfId="0" applyFont="1" applyBorder="1" applyAlignment="1" applyProtection="1">
      <alignment vertical="center"/>
      <protection locked="0"/>
    </xf>
    <xf numFmtId="0" fontId="75" fillId="0" borderId="17" xfId="0" applyFont="1" applyBorder="1" applyAlignment="1" applyProtection="1">
      <alignment vertical="center" wrapText="1"/>
      <protection locked="0"/>
    </xf>
    <xf numFmtId="0" fontId="75" fillId="0" borderId="27" xfId="0" applyFont="1" applyBorder="1" applyAlignment="1" applyProtection="1">
      <alignment vertical="center"/>
      <protection locked="0"/>
    </xf>
    <xf numFmtId="0" fontId="75" fillId="0" borderId="0" xfId="0" applyFont="1" applyAlignment="1" applyProtection="1">
      <alignment vertical="center"/>
      <protection locked="0"/>
    </xf>
    <xf numFmtId="0" fontId="73" fillId="0" borderId="0" xfId="0" applyFont="1" applyProtection="1">
      <protection locked="0"/>
    </xf>
    <xf numFmtId="0" fontId="80" fillId="5" borderId="1" xfId="0" applyFont="1" applyFill="1" applyBorder="1" applyAlignment="1" applyProtection="1">
      <alignment vertical="center"/>
      <protection locked="0"/>
    </xf>
    <xf numFmtId="0" fontId="81" fillId="5" borderId="1" xfId="0" applyFont="1" applyFill="1" applyBorder="1" applyProtection="1">
      <protection locked="0"/>
    </xf>
    <xf numFmtId="0" fontId="69" fillId="5" borderId="0" xfId="0" applyFont="1" applyFill="1" applyProtection="1">
      <protection locked="0"/>
    </xf>
    <xf numFmtId="0" fontId="69" fillId="0" borderId="0" xfId="0" applyFont="1" applyProtection="1">
      <protection locked="0"/>
    </xf>
    <xf numFmtId="0" fontId="69" fillId="5" borderId="31" xfId="0" applyFont="1" applyFill="1" applyBorder="1" applyAlignment="1" applyProtection="1">
      <alignment horizontal="center" vertical="center"/>
      <protection locked="0"/>
    </xf>
    <xf numFmtId="0" fontId="69" fillId="0" borderId="0" xfId="0" applyFont="1" applyAlignment="1" applyProtection="1">
      <alignment horizontal="center" vertical="center"/>
      <protection locked="0"/>
    </xf>
    <xf numFmtId="168" fontId="81" fillId="0" borderId="17" xfId="0" applyNumberFormat="1" applyFont="1" applyBorder="1" applyAlignment="1" applyProtection="1">
      <alignment horizontal="left" vertical="center"/>
      <protection locked="0"/>
    </xf>
    <xf numFmtId="0" fontId="75" fillId="0" borderId="1" xfId="0" applyFont="1" applyBorder="1" applyProtection="1">
      <protection locked="0"/>
    </xf>
    <xf numFmtId="0" fontId="69" fillId="0" borderId="28" xfId="0" applyFont="1" applyBorder="1" applyAlignment="1" applyProtection="1">
      <alignment horizontal="center"/>
      <protection locked="0"/>
    </xf>
    <xf numFmtId="0" fontId="75" fillId="5" borderId="17" xfId="0" applyFont="1" applyFill="1" applyBorder="1" applyAlignment="1" applyProtection="1">
      <alignment horizontal="center"/>
      <protection locked="0"/>
    </xf>
    <xf numFmtId="0" fontId="75" fillId="5" borderId="1" xfId="0" applyFont="1" applyFill="1" applyBorder="1" applyAlignment="1" applyProtection="1">
      <alignment horizontal="center"/>
      <protection locked="0"/>
    </xf>
    <xf numFmtId="164" fontId="85" fillId="0" borderId="17" xfId="0" applyNumberFormat="1" applyFont="1" applyBorder="1" applyProtection="1">
      <protection locked="0"/>
    </xf>
    <xf numFmtId="0" fontId="85" fillId="0" borderId="1" xfId="0" applyFont="1" applyBorder="1" applyProtection="1">
      <protection locked="0"/>
    </xf>
    <xf numFmtId="0" fontId="84" fillId="5" borderId="1" xfId="0" applyFont="1" applyFill="1" applyBorder="1" applyAlignment="1" applyProtection="1">
      <alignment vertical="center"/>
      <protection locked="0"/>
    </xf>
    <xf numFmtId="0" fontId="86" fillId="5" borderId="1" xfId="0" applyFont="1" applyFill="1" applyBorder="1" applyAlignment="1" applyProtection="1">
      <alignment horizontal="center" vertical="center"/>
      <protection locked="0"/>
    </xf>
    <xf numFmtId="164" fontId="81" fillId="0" borderId="17" xfId="0" applyNumberFormat="1" applyFont="1" applyBorder="1" applyAlignment="1" applyProtection="1">
      <alignment horizontal="center" vertical="center" wrapText="1"/>
      <protection locked="0"/>
    </xf>
    <xf numFmtId="0" fontId="51" fillId="12" borderId="1" xfId="0" applyFont="1" applyFill="1" applyBorder="1" applyAlignment="1" applyProtection="1">
      <alignment vertical="center"/>
      <protection locked="0"/>
    </xf>
    <xf numFmtId="164" fontId="85" fillId="0" borderId="17" xfId="0" applyNumberFormat="1" applyFont="1" applyBorder="1" applyAlignment="1" applyProtection="1">
      <alignment vertical="center" wrapText="1"/>
      <protection locked="0"/>
    </xf>
    <xf numFmtId="0" fontId="52" fillId="0" borderId="1" xfId="0" applyFont="1" applyBorder="1" applyAlignment="1" applyProtection="1">
      <alignment horizontal="center" vertical="center" wrapText="1"/>
      <protection locked="0"/>
    </xf>
    <xf numFmtId="9" fontId="50" fillId="0" borderId="1" xfId="0" applyNumberFormat="1" applyFont="1" applyBorder="1" applyAlignment="1" applyProtection="1">
      <alignment horizontal="right" vertical="center"/>
      <protection locked="0"/>
    </xf>
    <xf numFmtId="10" fontId="19" fillId="5" borderId="18" xfId="2" applyNumberFormat="1" applyFont="1" applyFill="1" applyBorder="1" applyAlignment="1" applyProtection="1">
      <alignment vertical="center"/>
    </xf>
    <xf numFmtId="0" fontId="50" fillId="0" borderId="1" xfId="0" applyFont="1" applyBorder="1" applyAlignment="1" applyProtection="1">
      <alignment horizontal="right" vertical="center"/>
      <protection locked="0"/>
    </xf>
    <xf numFmtId="0" fontId="55" fillId="0" borderId="1" xfId="0" applyFont="1" applyBorder="1" applyAlignment="1" applyProtection="1">
      <alignment horizontal="right" vertical="center"/>
      <protection locked="0"/>
    </xf>
    <xf numFmtId="0" fontId="51" fillId="0" borderId="1" xfId="0" applyFont="1" applyBorder="1" applyAlignment="1" applyProtection="1">
      <alignment vertical="center"/>
      <protection locked="0"/>
    </xf>
    <xf numFmtId="0" fontId="50" fillId="0" borderId="1" xfId="0" applyFont="1" applyBorder="1" applyAlignment="1" applyProtection="1">
      <alignment horizontal="right" vertical="center" wrapText="1"/>
      <protection locked="0"/>
    </xf>
    <xf numFmtId="164" fontId="87" fillId="0" borderId="17" xfId="0" applyNumberFormat="1" applyFont="1" applyBorder="1" applyAlignment="1" applyProtection="1">
      <alignment vertical="center" wrapText="1"/>
      <protection locked="0"/>
    </xf>
    <xf numFmtId="0" fontId="51" fillId="12" borderId="28" xfId="0" applyFont="1" applyFill="1" applyBorder="1" applyAlignment="1" applyProtection="1">
      <alignment vertical="center"/>
      <protection locked="0"/>
    </xf>
    <xf numFmtId="0" fontId="52" fillId="0" borderId="28" xfId="0" applyFont="1" applyBorder="1" applyAlignment="1" applyProtection="1">
      <alignment horizontal="center" vertical="center" wrapText="1"/>
      <protection locked="0"/>
    </xf>
    <xf numFmtId="0" fontId="50" fillId="0" borderId="28" xfId="0" applyFont="1" applyBorder="1" applyAlignment="1" applyProtection="1">
      <alignment horizontal="right" vertical="center"/>
      <protection locked="0"/>
    </xf>
    <xf numFmtId="0" fontId="74" fillId="0" borderId="6" xfId="0" applyFont="1" applyBorder="1" applyAlignment="1" applyProtection="1">
      <alignment horizontal="center" vertical="center"/>
      <protection locked="0"/>
    </xf>
    <xf numFmtId="0" fontId="84" fillId="0" borderId="0" xfId="0" applyFont="1" applyProtection="1">
      <protection locked="0"/>
    </xf>
    <xf numFmtId="0" fontId="80" fillId="0" borderId="0" xfId="0" applyFont="1" applyAlignment="1" applyProtection="1">
      <alignment vertical="center"/>
      <protection locked="0"/>
    </xf>
    <xf numFmtId="0" fontId="80" fillId="0" borderId="0" xfId="0" applyFont="1" applyProtection="1">
      <protection locked="0"/>
    </xf>
    <xf numFmtId="0" fontId="74" fillId="0" borderId="6" xfId="0" applyFont="1" applyBorder="1" applyAlignment="1" applyProtection="1">
      <alignment vertical="center"/>
      <protection locked="0"/>
    </xf>
    <xf numFmtId="0" fontId="80" fillId="5" borderId="1" xfId="0" applyFont="1" applyFill="1" applyBorder="1" applyAlignment="1" applyProtection="1">
      <alignment horizontal="center" vertical="center" wrapText="1"/>
      <protection locked="0"/>
    </xf>
    <xf numFmtId="0" fontId="75" fillId="5" borderId="1" xfId="0" applyFont="1" applyFill="1" applyBorder="1" applyAlignment="1" applyProtection="1">
      <alignment horizontal="center" vertical="center" wrapText="1"/>
      <protection locked="0"/>
    </xf>
    <xf numFmtId="0" fontId="75" fillId="0" borderId="24" xfId="0" applyFont="1" applyBorder="1" applyAlignment="1" applyProtection="1">
      <alignment vertical="center"/>
      <protection locked="0"/>
    </xf>
    <xf numFmtId="0" fontId="75" fillId="0" borderId="1" xfId="0" applyFont="1" applyBorder="1" applyAlignment="1" applyProtection="1">
      <alignment vertical="center"/>
      <protection locked="0"/>
    </xf>
    <xf numFmtId="0" fontId="69" fillId="0" borderId="1" xfId="0" applyFont="1" applyBorder="1" applyAlignment="1" applyProtection="1">
      <alignment horizontal="left" vertical="center"/>
      <protection locked="0"/>
    </xf>
    <xf numFmtId="0" fontId="1" fillId="0" borderId="24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75" fillId="0" borderId="0" xfId="0" applyFont="1" applyProtection="1">
      <protection locked="0"/>
    </xf>
    <xf numFmtId="0" fontId="75" fillId="5" borderId="1" xfId="0" applyFont="1" applyFill="1" applyBorder="1" applyAlignment="1" applyProtection="1">
      <alignment horizontal="center" vertical="center"/>
      <protection locked="0"/>
    </xf>
    <xf numFmtId="0" fontId="69" fillId="5" borderId="1" xfId="0" applyFont="1" applyFill="1" applyBorder="1" applyAlignment="1" applyProtection="1">
      <alignment vertical="center"/>
      <protection locked="0"/>
    </xf>
    <xf numFmtId="0" fontId="69" fillId="0" borderId="0" xfId="0" applyFont="1" applyAlignment="1" applyProtection="1">
      <alignment vertical="center"/>
      <protection locked="0"/>
    </xf>
    <xf numFmtId="0" fontId="75" fillId="0" borderId="0" xfId="0" applyFont="1"/>
    <xf numFmtId="0" fontId="69" fillId="5" borderId="13" xfId="0" applyFont="1" applyFill="1" applyBorder="1" applyAlignment="1">
      <alignment horizontal="center" vertical="center" wrapText="1"/>
    </xf>
    <xf numFmtId="0" fontId="69" fillId="5" borderId="15" xfId="0" applyFont="1" applyFill="1" applyBorder="1" applyAlignment="1">
      <alignment horizontal="center" vertical="center" wrapText="1"/>
    </xf>
    <xf numFmtId="0" fontId="75" fillId="5" borderId="1" xfId="0" applyFont="1" applyFill="1" applyBorder="1" applyAlignment="1">
      <alignment horizontal="center" vertical="center" wrapText="1"/>
    </xf>
    <xf numFmtId="0" fontId="75" fillId="5" borderId="30" xfId="0" applyFont="1" applyFill="1" applyBorder="1" applyAlignment="1" applyProtection="1">
      <alignment horizontal="center" vertical="center" wrapText="1"/>
      <protection locked="0"/>
    </xf>
    <xf numFmtId="0" fontId="86" fillId="0" borderId="6" xfId="0" applyFont="1" applyBorder="1" applyAlignment="1" applyProtection="1">
      <alignment horizontal="center" vertical="center"/>
      <protection locked="0"/>
    </xf>
    <xf numFmtId="0" fontId="81" fillId="5" borderId="1" xfId="0" applyFont="1" applyFill="1" applyBorder="1" applyAlignment="1" applyProtection="1">
      <alignment horizontal="center" vertical="center" wrapText="1"/>
      <protection locked="0"/>
    </xf>
    <xf numFmtId="0" fontId="69" fillId="5" borderId="30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Protection="1">
      <protection locked="0"/>
    </xf>
    <xf numFmtId="0" fontId="8" fillId="0" borderId="4" xfId="0" applyFont="1" applyBorder="1" applyAlignment="1" applyProtection="1">
      <alignment vertical="center"/>
      <protection locked="0"/>
    </xf>
    <xf numFmtId="0" fontId="8" fillId="0" borderId="1" xfId="0" applyFont="1" applyBorder="1" applyAlignment="1" applyProtection="1">
      <alignment vertical="center"/>
      <protection locked="0"/>
    </xf>
    <xf numFmtId="0" fontId="75" fillId="5" borderId="0" xfId="0" applyFont="1" applyFill="1" applyAlignment="1" applyProtection="1">
      <alignment horizontal="center" vertical="center" wrapText="1"/>
      <protection locked="0"/>
    </xf>
    <xf numFmtId="9" fontId="36" fillId="5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right" vertical="center"/>
    </xf>
    <xf numFmtId="0" fontId="69" fillId="5" borderId="6" xfId="0" applyFont="1" applyFill="1" applyBorder="1" applyAlignment="1">
      <alignment horizontal="center"/>
    </xf>
    <xf numFmtId="0" fontId="42" fillId="5" borderId="1" xfId="0" applyFont="1" applyFill="1" applyBorder="1"/>
    <xf numFmtId="0" fontId="70" fillId="5" borderId="6" xfId="0" applyFont="1" applyFill="1" applyBorder="1" applyAlignment="1">
      <alignment horizontal="center"/>
    </xf>
    <xf numFmtId="164" fontId="70" fillId="5" borderId="6" xfId="0" applyNumberFormat="1" applyFont="1" applyFill="1" applyBorder="1" applyAlignment="1">
      <alignment horizontal="center"/>
    </xf>
    <xf numFmtId="2" fontId="21" fillId="5" borderId="4" xfId="0" applyNumberFormat="1" applyFont="1" applyFill="1" applyBorder="1" applyAlignment="1">
      <alignment horizontal="center" vertical="center"/>
    </xf>
    <xf numFmtId="0" fontId="21" fillId="5" borderId="4" xfId="0" applyFont="1" applyFill="1" applyBorder="1" applyAlignment="1">
      <alignment horizontal="center" vertical="center"/>
    </xf>
    <xf numFmtId="2" fontId="44" fillId="0" borderId="0" xfId="0" applyNumberFormat="1" applyFont="1"/>
    <xf numFmtId="0" fontId="70" fillId="0" borderId="27" xfId="0" applyFont="1" applyBorder="1" applyAlignment="1" applyProtection="1">
      <alignment horizontal="center" vertical="center"/>
      <protection locked="0"/>
    </xf>
    <xf numFmtId="0" fontId="21" fillId="5" borderId="28" xfId="0" applyFont="1" applyFill="1" applyBorder="1" applyAlignment="1">
      <alignment horizontal="center" vertical="center"/>
    </xf>
    <xf numFmtId="0" fontId="15" fillId="0" borderId="28" xfId="0" applyFont="1" applyBorder="1" applyAlignment="1" applyProtection="1">
      <alignment horizontal="center" vertical="center"/>
      <protection locked="0"/>
    </xf>
    <xf numFmtId="43" fontId="21" fillId="0" borderId="28" xfId="1" applyFont="1" applyFill="1" applyBorder="1" applyProtection="1">
      <protection locked="0"/>
    </xf>
    <xf numFmtId="2" fontId="17" fillId="5" borderId="1" xfId="0" applyNumberFormat="1" applyFont="1" applyFill="1" applyBorder="1" applyProtection="1">
      <protection locked="0"/>
    </xf>
    <xf numFmtId="0" fontId="16" fillId="5" borderId="1" xfId="0" applyFont="1" applyFill="1" applyBorder="1"/>
    <xf numFmtId="2" fontId="17" fillId="5" borderId="1" xfId="0" applyNumberFormat="1" applyFont="1" applyFill="1" applyBorder="1"/>
    <xf numFmtId="0" fontId="78" fillId="5" borderId="1" xfId="0" applyFont="1" applyFill="1" applyBorder="1"/>
    <xf numFmtId="43" fontId="15" fillId="0" borderId="1" xfId="0" applyNumberFormat="1" applyFont="1" applyBorder="1"/>
    <xf numFmtId="2" fontId="15" fillId="0" borderId="1" xfId="0" applyNumberFormat="1" applyFont="1" applyBorder="1"/>
    <xf numFmtId="0" fontId="69" fillId="5" borderId="9" xfId="0" applyFont="1" applyFill="1" applyBorder="1" applyAlignment="1">
      <alignment horizontal="center" vertical="center"/>
    </xf>
    <xf numFmtId="2" fontId="19" fillId="5" borderId="1" xfId="0" applyNumberFormat="1" applyFont="1" applyFill="1" applyBorder="1" applyAlignment="1">
      <alignment vertical="center"/>
    </xf>
    <xf numFmtId="43" fontId="19" fillId="5" borderId="1" xfId="0" applyNumberFormat="1" applyFont="1" applyFill="1" applyBorder="1" applyAlignment="1">
      <alignment vertical="center"/>
    </xf>
    <xf numFmtId="0" fontId="26" fillId="5" borderId="1" xfId="0" applyFont="1" applyFill="1" applyBorder="1" applyAlignment="1">
      <alignment horizontal="center"/>
    </xf>
    <xf numFmtId="0" fontId="26" fillId="5" borderId="1" xfId="0" applyFont="1" applyFill="1" applyBorder="1"/>
    <xf numFmtId="0" fontId="69" fillId="5" borderId="31" xfId="0" applyFont="1" applyFill="1" applyBorder="1" applyAlignment="1">
      <alignment horizontal="center" vertical="center"/>
    </xf>
    <xf numFmtId="43" fontId="19" fillId="5" borderId="18" xfId="0" applyNumberFormat="1" applyFont="1" applyFill="1" applyBorder="1"/>
    <xf numFmtId="0" fontId="69" fillId="0" borderId="0" xfId="0" applyFont="1" applyAlignment="1" applyProtection="1">
      <alignment horizontal="center"/>
      <protection locked="0"/>
    </xf>
    <xf numFmtId="0" fontId="81" fillId="0" borderId="6" xfId="0" applyFont="1" applyBorder="1" applyAlignment="1" applyProtection="1">
      <alignment horizontal="left" vertical="center"/>
      <protection locked="0"/>
    </xf>
    <xf numFmtId="0" fontId="75" fillId="0" borderId="6" xfId="0" applyFont="1" applyBorder="1" applyProtection="1">
      <protection locked="0"/>
    </xf>
    <xf numFmtId="0" fontId="75" fillId="4" borderId="6" xfId="0" applyFont="1" applyFill="1" applyBorder="1" applyProtection="1">
      <protection locked="0"/>
    </xf>
    <xf numFmtId="0" fontId="75" fillId="0" borderId="6" xfId="0" applyFont="1" applyBorder="1" applyAlignment="1" applyProtection="1">
      <alignment vertical="center" wrapText="1"/>
      <protection locked="0"/>
    </xf>
    <xf numFmtId="0" fontId="69" fillId="0" borderId="6" xfId="0" applyFont="1" applyBorder="1" applyAlignment="1" applyProtection="1">
      <alignment horizontal="center"/>
      <protection locked="0"/>
    </xf>
    <xf numFmtId="0" fontId="19" fillId="5" borderId="6" xfId="0" applyFont="1" applyFill="1" applyBorder="1"/>
    <xf numFmtId="0" fontId="26" fillId="5" borderId="6" xfId="0" applyFont="1" applyFill="1" applyBorder="1" applyAlignment="1">
      <alignment horizontal="center"/>
    </xf>
    <xf numFmtId="43" fontId="66" fillId="5" borderId="1" xfId="0" applyNumberFormat="1" applyFont="1" applyFill="1" applyBorder="1"/>
    <xf numFmtId="43" fontId="64" fillId="5" borderId="1" xfId="0" applyNumberFormat="1" applyFont="1" applyFill="1" applyBorder="1"/>
    <xf numFmtId="0" fontId="75" fillId="5" borderId="2" xfId="0" applyFont="1" applyFill="1" applyBorder="1" applyAlignment="1">
      <alignment horizontal="center"/>
    </xf>
    <xf numFmtId="1" fontId="47" fillId="5" borderId="2" xfId="0" applyNumberFormat="1" applyFont="1" applyFill="1" applyBorder="1"/>
    <xf numFmtId="0" fontId="19" fillId="5" borderId="18" xfId="0" applyFont="1" applyFill="1" applyBorder="1"/>
    <xf numFmtId="43" fontId="19" fillId="5" borderId="29" xfId="0" applyNumberFormat="1" applyFont="1" applyFill="1" applyBorder="1"/>
    <xf numFmtId="43" fontId="26" fillId="5" borderId="1" xfId="0" applyNumberFormat="1" applyFont="1" applyFill="1" applyBorder="1" applyAlignment="1">
      <alignment horizontal="right" vertical="center"/>
    </xf>
    <xf numFmtId="2" fontId="26" fillId="5" borderId="1" xfId="0" applyNumberFormat="1" applyFont="1" applyFill="1" applyBorder="1" applyAlignment="1">
      <alignment horizontal="right" vertical="center"/>
    </xf>
    <xf numFmtId="166" fontId="26" fillId="5" borderId="1" xfId="0" applyNumberFormat="1" applyFont="1" applyFill="1" applyBorder="1" applyAlignment="1">
      <alignment horizontal="right" vertical="center"/>
    </xf>
    <xf numFmtId="2" fontId="26" fillId="5" borderId="1" xfId="0" applyNumberFormat="1" applyFont="1" applyFill="1" applyBorder="1" applyAlignment="1">
      <alignment horizontal="right" vertical="center" wrapText="1"/>
    </xf>
    <xf numFmtId="166" fontId="26" fillId="5" borderId="1" xfId="0" applyNumberFormat="1" applyFont="1" applyFill="1" applyBorder="1" applyAlignment="1">
      <alignment horizontal="right" vertical="center" wrapText="1"/>
    </xf>
    <xf numFmtId="0" fontId="26" fillId="5" borderId="1" xfId="0" applyFont="1" applyFill="1" applyBorder="1" applyAlignment="1">
      <alignment horizontal="right" vertical="center"/>
    </xf>
    <xf numFmtId="166" fontId="26" fillId="5" borderId="28" xfId="0" applyNumberFormat="1" applyFont="1" applyFill="1" applyBorder="1" applyAlignment="1">
      <alignment horizontal="right" vertical="center"/>
    </xf>
    <xf numFmtId="0" fontId="4" fillId="8" borderId="6" xfId="0" applyFont="1" applyFill="1" applyBorder="1" applyAlignment="1">
      <alignment vertical="center"/>
    </xf>
    <xf numFmtId="0" fontId="26" fillId="8" borderId="6" xfId="0" applyFont="1" applyFill="1" applyBorder="1" applyAlignment="1">
      <alignment vertical="center"/>
    </xf>
    <xf numFmtId="0" fontId="28" fillId="9" borderId="6" xfId="0" applyFont="1" applyFill="1" applyBorder="1" applyAlignment="1">
      <alignment vertical="center"/>
    </xf>
    <xf numFmtId="1" fontId="4" fillId="8" borderId="6" xfId="0" applyNumberFormat="1" applyFont="1" applyFill="1" applyBorder="1" applyAlignment="1">
      <alignment vertical="center"/>
    </xf>
    <xf numFmtId="1" fontId="26" fillId="8" borderId="6" xfId="0" applyNumberFormat="1" applyFont="1" applyFill="1" applyBorder="1" applyAlignment="1">
      <alignment vertical="center"/>
    </xf>
    <xf numFmtId="0" fontId="4" fillId="5" borderId="6" xfId="0" applyFont="1" applyFill="1" applyBorder="1" applyAlignment="1">
      <alignment vertical="center"/>
    </xf>
    <xf numFmtId="0" fontId="27" fillId="5" borderId="6" xfId="0" applyFont="1" applyFill="1" applyBorder="1" applyAlignment="1">
      <alignment vertical="center"/>
    </xf>
    <xf numFmtId="0" fontId="28" fillId="5" borderId="6" xfId="0" applyFont="1" applyFill="1" applyBorder="1" applyAlignment="1">
      <alignment vertical="center"/>
    </xf>
    <xf numFmtId="0" fontId="26" fillId="5" borderId="6" xfId="0" applyFont="1" applyFill="1" applyBorder="1" applyAlignment="1">
      <alignment vertic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/>
    </xf>
    <xf numFmtId="0" fontId="89" fillId="5" borderId="4" xfId="0" applyFont="1" applyFill="1" applyBorder="1"/>
    <xf numFmtId="0" fontId="29" fillId="5" borderId="1" xfId="0" applyFont="1" applyFill="1" applyBorder="1"/>
    <xf numFmtId="0" fontId="25" fillId="5" borderId="1" xfId="0" applyFont="1" applyFill="1" applyBorder="1" applyAlignment="1">
      <alignment horizontal="center" vertical="center"/>
    </xf>
    <xf numFmtId="0" fontId="89" fillId="5" borderId="1" xfId="0" applyFont="1" applyFill="1" applyBorder="1" applyAlignment="1">
      <alignment horizontal="center" vertical="center" wrapText="1"/>
    </xf>
    <xf numFmtId="0" fontId="29" fillId="5" borderId="1" xfId="0" applyFont="1" applyFill="1" applyBorder="1" applyAlignment="1">
      <alignment horizontal="center" vertical="center"/>
    </xf>
    <xf numFmtId="0" fontId="29" fillId="5" borderId="1" xfId="0" applyFont="1" applyFill="1" applyBorder="1" applyAlignment="1">
      <alignment horizontal="center" vertical="center" wrapText="1"/>
    </xf>
    <xf numFmtId="0" fontId="80" fillId="5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30" fillId="0" borderId="0" xfId="0" applyFont="1"/>
    <xf numFmtId="0" fontId="7" fillId="0" borderId="1" xfId="0" applyFont="1" applyBorder="1"/>
    <xf numFmtId="0" fontId="69" fillId="5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42" fillId="0" borderId="1" xfId="2" applyNumberFormat="1" applyFont="1" applyFill="1" applyBorder="1" applyProtection="1">
      <protection locked="0"/>
    </xf>
    <xf numFmtId="0" fontId="26" fillId="5" borderId="1" xfId="0" applyFont="1" applyFill="1" applyBorder="1" applyAlignment="1" applyProtection="1">
      <alignment horizontal="center"/>
      <protection locked="0"/>
    </xf>
    <xf numFmtId="0" fontId="90" fillId="0" borderId="43" xfId="0" applyFont="1" applyBorder="1" applyAlignment="1" applyProtection="1">
      <alignment horizontal="right" vertical="center" wrapText="1"/>
      <protection locked="0"/>
    </xf>
    <xf numFmtId="10" fontId="17" fillId="0" borderId="1" xfId="2" applyNumberFormat="1" applyFont="1" applyFill="1" applyBorder="1" applyAlignment="1" applyProtection="1">
      <protection locked="0"/>
    </xf>
    <xf numFmtId="43" fontId="21" fillId="5" borderId="28" xfId="0" applyNumberFormat="1" applyFont="1" applyFill="1" applyBorder="1" applyAlignment="1">
      <alignment horizontal="center" vertical="center"/>
    </xf>
    <xf numFmtId="0" fontId="91" fillId="0" borderId="39" xfId="0" applyFont="1" applyBorder="1" applyAlignment="1">
      <alignment horizontal="center" vertical="center"/>
    </xf>
    <xf numFmtId="0" fontId="92" fillId="0" borderId="39" xfId="3" applyFont="1" applyFill="1" applyBorder="1" applyAlignment="1">
      <alignment vertical="center"/>
    </xf>
    <xf numFmtId="0" fontId="93" fillId="0" borderId="39" xfId="0" applyFont="1" applyBorder="1" applyAlignment="1">
      <alignment vertical="center"/>
    </xf>
    <xf numFmtId="0" fontId="92" fillId="0" borderId="39" xfId="3" applyFont="1" applyFill="1" applyBorder="1" applyAlignment="1">
      <alignment horizontal="left" vertical="center"/>
    </xf>
    <xf numFmtId="0" fontId="51" fillId="12" borderId="1" xfId="0" applyFont="1" applyFill="1" applyBorder="1"/>
    <xf numFmtId="0" fontId="52" fillId="0" borderId="1" xfId="0" applyFont="1" applyBorder="1" applyAlignment="1">
      <alignment horizontal="center" wrapText="1"/>
    </xf>
    <xf numFmtId="9" fontId="50" fillId="0" borderId="1" xfId="0" applyNumberFormat="1" applyFont="1" applyBorder="1" applyAlignment="1">
      <alignment horizontal="right"/>
    </xf>
    <xf numFmtId="2" fontId="19" fillId="0" borderId="1" xfId="1" applyNumberFormat="1" applyFont="1" applyBorder="1" applyAlignment="1" applyProtection="1">
      <alignment horizontal="center"/>
    </xf>
    <xf numFmtId="2" fontId="20" fillId="7" borderId="1" xfId="1" applyNumberFormat="1" applyFont="1" applyFill="1" applyBorder="1" applyAlignment="1" applyProtection="1">
      <alignment horizontal="center"/>
    </xf>
    <xf numFmtId="2" fontId="19" fillId="0" borderId="1" xfId="1" applyNumberFormat="1" applyFont="1" applyFill="1" applyBorder="1" applyProtection="1"/>
    <xf numFmtId="0" fontId="3" fillId="0" borderId="1" xfId="0" applyFont="1" applyBorder="1" applyAlignment="1" applyProtection="1">
      <alignment horizontal="center" vertical="center" wrapText="1"/>
      <protection locked="0"/>
    </xf>
    <xf numFmtId="0" fontId="94" fillId="0" borderId="1" xfId="0" applyFont="1" applyBorder="1" applyAlignment="1" applyProtection="1">
      <alignment horizontal="center"/>
      <protection locked="0"/>
    </xf>
    <xf numFmtId="0" fontId="94" fillId="0" borderId="0" xfId="0" applyFont="1"/>
    <xf numFmtId="9" fontId="44" fillId="0" borderId="0" xfId="2" applyFont="1" applyProtection="1">
      <protection locked="0"/>
    </xf>
    <xf numFmtId="9" fontId="76" fillId="0" borderId="0" xfId="2" applyFont="1" applyProtection="1">
      <protection locked="0"/>
    </xf>
    <xf numFmtId="10" fontId="15" fillId="5" borderId="2" xfId="2" applyNumberFormat="1" applyFont="1" applyFill="1" applyBorder="1" applyAlignment="1" applyProtection="1">
      <alignment horizontal="center" vertical="center"/>
    </xf>
    <xf numFmtId="43" fontId="45" fillId="4" borderId="3" xfId="0" applyNumberFormat="1" applyFont="1" applyFill="1" applyBorder="1" applyProtection="1">
      <protection locked="0"/>
    </xf>
    <xf numFmtId="43" fontId="44" fillId="0" borderId="0" xfId="0" applyNumberFormat="1" applyFont="1" applyProtection="1">
      <protection locked="0"/>
    </xf>
    <xf numFmtId="2" fontId="0" fillId="0" borderId="0" xfId="0" applyNumberFormat="1" applyAlignment="1" applyProtection="1">
      <alignment vertical="center"/>
      <protection locked="0"/>
    </xf>
    <xf numFmtId="43" fontId="0" fillId="0" borderId="0" xfId="0" applyNumberFormat="1" applyAlignment="1" applyProtection="1">
      <alignment vertical="center"/>
      <protection locked="0"/>
    </xf>
    <xf numFmtId="10" fontId="8" fillId="0" borderId="1" xfId="2" applyNumberFormat="1" applyFont="1" applyBorder="1" applyAlignment="1" applyProtection="1">
      <alignment horizontal="right" vertical="center"/>
      <protection locked="0"/>
    </xf>
    <xf numFmtId="167" fontId="8" fillId="0" borderId="1" xfId="0" applyNumberFormat="1" applyFont="1" applyBorder="1" applyAlignment="1" applyProtection="1">
      <alignment horizontal="center" vertical="center" wrapText="1"/>
      <protection locked="0"/>
    </xf>
    <xf numFmtId="0" fontId="19" fillId="0" borderId="2" xfId="2" applyNumberFormat="1" applyFont="1" applyBorder="1" applyProtection="1">
      <protection locked="0"/>
    </xf>
    <xf numFmtId="0" fontId="19" fillId="5" borderId="2" xfId="2" applyNumberFormat="1" applyFont="1" applyFill="1" applyBorder="1" applyProtection="1">
      <protection locked="0"/>
    </xf>
    <xf numFmtId="0" fontId="15" fillId="5" borderId="2" xfId="2" applyNumberFormat="1" applyFont="1" applyFill="1" applyBorder="1" applyProtection="1">
      <protection locked="0"/>
    </xf>
    <xf numFmtId="2" fontId="90" fillId="13" borderId="43" xfId="0" applyNumberFormat="1" applyFont="1" applyFill="1" applyBorder="1" applyAlignment="1" applyProtection="1">
      <alignment horizontal="right" vertical="center" wrapText="1"/>
      <protection locked="0"/>
    </xf>
    <xf numFmtId="0" fontId="90" fillId="13" borderId="6" xfId="0" applyFont="1" applyFill="1" applyBorder="1" applyAlignment="1" applyProtection="1">
      <alignment horizontal="right" vertical="center" wrapText="1"/>
      <protection locked="0"/>
    </xf>
    <xf numFmtId="0" fontId="90" fillId="13" borderId="43" xfId="0" applyFont="1" applyFill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Protection="1">
      <protection locked="0"/>
    </xf>
    <xf numFmtId="2" fontId="15" fillId="0" borderId="0" xfId="0" applyNumberFormat="1" applyFont="1" applyProtection="1">
      <protection locked="0"/>
    </xf>
    <xf numFmtId="0" fontId="82" fillId="6" borderId="1" xfId="0" applyFont="1" applyFill="1" applyBorder="1" applyAlignment="1" applyProtection="1">
      <alignment horizontal="center"/>
      <protection locked="0"/>
    </xf>
    <xf numFmtId="0" fontId="82" fillId="6" borderId="1" xfId="0" applyFont="1" applyFill="1" applyBorder="1" applyAlignment="1">
      <alignment horizontal="center"/>
    </xf>
    <xf numFmtId="164" fontId="82" fillId="6" borderId="1" xfId="0" applyNumberFormat="1" applyFont="1" applyFill="1" applyBorder="1" applyAlignment="1">
      <alignment horizontal="center"/>
    </xf>
    <xf numFmtId="0" fontId="14" fillId="4" borderId="1" xfId="0" applyFont="1" applyFill="1" applyBorder="1" applyProtection="1">
      <protection locked="0"/>
    </xf>
    <xf numFmtId="0" fontId="83" fillId="0" borderId="1" xfId="0" applyFont="1" applyBorder="1" applyAlignment="1" applyProtection="1">
      <alignment vertical="center"/>
      <protection locked="0"/>
    </xf>
    <xf numFmtId="2" fontId="18" fillId="0" borderId="1" xfId="0" applyNumberFormat="1" applyFont="1" applyBorder="1" applyAlignment="1">
      <alignment vertical="center"/>
    </xf>
    <xf numFmtId="0" fontId="82" fillId="7" borderId="1" xfId="0" applyFont="1" applyFill="1" applyBorder="1" applyAlignment="1" applyProtection="1">
      <alignment horizontal="center" vertical="center"/>
      <protection locked="0"/>
    </xf>
    <xf numFmtId="2" fontId="20" fillId="7" borderId="1" xfId="0" applyNumberFormat="1" applyFont="1" applyFill="1" applyBorder="1" applyAlignment="1">
      <alignment horizontal="center" vertical="center"/>
    </xf>
    <xf numFmtId="43" fontId="82" fillId="7" borderId="1" xfId="1" applyFont="1" applyFill="1" applyBorder="1" applyAlignment="1" applyProtection="1">
      <alignment horizontal="center" vertical="center"/>
      <protection locked="0"/>
    </xf>
    <xf numFmtId="2" fontId="20" fillId="7" borderId="1" xfId="1" applyNumberFormat="1" applyFont="1" applyFill="1" applyBorder="1" applyAlignment="1" applyProtection="1">
      <alignment horizontal="center" vertical="center"/>
    </xf>
    <xf numFmtId="0" fontId="0" fillId="0" borderId="1" xfId="0" applyBorder="1" applyProtection="1">
      <protection locked="0"/>
    </xf>
    <xf numFmtId="43" fontId="0" fillId="0" borderId="1" xfId="0" applyNumberFormat="1" applyBorder="1"/>
    <xf numFmtId="2" fontId="19" fillId="0" borderId="1" xfId="1" applyNumberFormat="1" applyFont="1" applyBorder="1" applyAlignment="1" applyProtection="1">
      <alignment horizontal="right" vertical="center"/>
    </xf>
    <xf numFmtId="2" fontId="18" fillId="0" borderId="1" xfId="0" applyNumberFormat="1" applyFont="1" applyBorder="1" applyAlignment="1">
      <alignment horizontal="right" vertical="center"/>
    </xf>
    <xf numFmtId="2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2" fontId="14" fillId="4" borderId="1" xfId="0" applyNumberFormat="1" applyFont="1" applyFill="1" applyBorder="1" applyProtection="1">
      <protection locked="0"/>
    </xf>
    <xf numFmtId="43" fontId="17" fillId="0" borderId="1" xfId="0" applyNumberFormat="1" applyFont="1" applyBorder="1"/>
    <xf numFmtId="10" fontId="42" fillId="0" borderId="1" xfId="2" applyNumberFormat="1" applyFont="1" applyFill="1" applyBorder="1" applyProtection="1">
      <protection locked="0"/>
    </xf>
    <xf numFmtId="0" fontId="0" fillId="13" borderId="0" xfId="0" applyFill="1" applyAlignment="1" applyProtection="1">
      <alignment vertical="center"/>
      <protection locked="0"/>
    </xf>
    <xf numFmtId="0" fontId="95" fillId="0" borderId="0" xfId="0" applyFont="1" applyProtection="1">
      <protection locked="0"/>
    </xf>
    <xf numFmtId="0" fontId="27" fillId="0" borderId="0" xfId="0" applyFont="1" applyProtection="1">
      <protection locked="0"/>
    </xf>
    <xf numFmtId="10" fontId="27" fillId="0" borderId="0" xfId="0" applyNumberFormat="1" applyFont="1" applyProtection="1">
      <protection locked="0"/>
    </xf>
    <xf numFmtId="10" fontId="29" fillId="13" borderId="0" xfId="0" applyNumberFormat="1" applyFont="1" applyFill="1" applyProtection="1">
      <protection locked="0"/>
    </xf>
    <xf numFmtId="0" fontId="96" fillId="13" borderId="0" xfId="0" applyFont="1" applyFill="1" applyProtection="1">
      <protection locked="0"/>
    </xf>
    <xf numFmtId="10" fontId="97" fillId="14" borderId="0" xfId="0" applyNumberFormat="1" applyFont="1" applyFill="1" applyProtection="1">
      <protection locked="0"/>
    </xf>
    <xf numFmtId="0" fontId="27" fillId="0" borderId="1" xfId="0" applyFont="1" applyBorder="1" applyProtection="1">
      <protection locked="0"/>
    </xf>
    <xf numFmtId="10" fontId="4" fillId="0" borderId="1" xfId="2" applyNumberFormat="1" applyFont="1" applyBorder="1" applyProtection="1">
      <protection locked="0"/>
    </xf>
    <xf numFmtId="9" fontId="4" fillId="0" borderId="1" xfId="2" applyFont="1" applyBorder="1" applyProtection="1">
      <protection locked="0"/>
    </xf>
    <xf numFmtId="10" fontId="4" fillId="0" borderId="1" xfId="0" applyNumberFormat="1" applyFont="1" applyBorder="1" applyProtection="1">
      <protection locked="0"/>
    </xf>
    <xf numFmtId="0" fontId="27" fillId="14" borderId="1" xfId="0" applyFont="1" applyFill="1" applyBorder="1" applyProtection="1">
      <protection locked="0"/>
    </xf>
    <xf numFmtId="0" fontId="91" fillId="0" borderId="39" xfId="0" applyFont="1" applyBorder="1" applyAlignment="1">
      <alignment horizontal="center" vertical="center"/>
    </xf>
    <xf numFmtId="0" fontId="80" fillId="0" borderId="0" xfId="0" applyFont="1" applyAlignment="1">
      <alignment horizontal="center"/>
    </xf>
    <xf numFmtId="0" fontId="72" fillId="4" borderId="0" xfId="0" applyFont="1" applyFill="1" applyAlignment="1" applyProtection="1">
      <alignment horizontal="center" vertical="center"/>
      <protection locked="0"/>
    </xf>
    <xf numFmtId="0" fontId="13" fillId="4" borderId="0" xfId="0" applyFont="1" applyFill="1" applyAlignment="1" applyProtection="1">
      <alignment horizontal="center" vertical="center"/>
      <protection locked="0"/>
    </xf>
    <xf numFmtId="0" fontId="68" fillId="4" borderId="16" xfId="0" applyFont="1" applyFill="1" applyBorder="1" applyAlignment="1">
      <alignment horizontal="center" vertical="center"/>
    </xf>
    <xf numFmtId="0" fontId="68" fillId="4" borderId="10" xfId="0" applyFont="1" applyFill="1" applyBorder="1" applyAlignment="1">
      <alignment horizontal="center" vertical="center"/>
    </xf>
    <xf numFmtId="0" fontId="68" fillId="4" borderId="11" xfId="0" applyFont="1" applyFill="1" applyBorder="1" applyAlignment="1">
      <alignment horizontal="center" vertical="center"/>
    </xf>
    <xf numFmtId="0" fontId="68" fillId="4" borderId="0" xfId="0" applyFont="1" applyFill="1" applyAlignment="1">
      <alignment horizontal="center" vertical="center"/>
    </xf>
    <xf numFmtId="0" fontId="68" fillId="4" borderId="11" xfId="0" applyFont="1" applyFill="1" applyBorder="1" applyAlignment="1" applyProtection="1">
      <alignment horizontal="center" vertical="center"/>
      <protection locked="0"/>
    </xf>
    <xf numFmtId="0" fontId="68" fillId="4" borderId="0" xfId="0" applyFont="1" applyFill="1" applyAlignment="1" applyProtection="1">
      <alignment horizontal="center" vertical="center"/>
      <protection locked="0"/>
    </xf>
    <xf numFmtId="0" fontId="68" fillId="5" borderId="12" xfId="0" applyFont="1" applyFill="1" applyBorder="1" applyAlignment="1">
      <alignment horizontal="center" vertical="center"/>
    </xf>
    <xf numFmtId="0" fontId="68" fillId="5" borderId="7" xfId="0" applyFont="1" applyFill="1" applyBorder="1" applyAlignment="1">
      <alignment horizontal="center" vertical="center"/>
    </xf>
    <xf numFmtId="0" fontId="69" fillId="5" borderId="1" xfId="0" applyFont="1" applyFill="1" applyBorder="1" applyAlignment="1">
      <alignment horizontal="center"/>
    </xf>
    <xf numFmtId="0" fontId="31" fillId="5" borderId="13" xfId="0" applyFont="1" applyFill="1" applyBorder="1" applyAlignment="1" applyProtection="1">
      <alignment horizontal="center" vertical="center" textRotation="90"/>
      <protection locked="0"/>
    </xf>
    <xf numFmtId="0" fontId="31" fillId="5" borderId="15" xfId="0" applyFont="1" applyFill="1" applyBorder="1" applyAlignment="1" applyProtection="1">
      <alignment horizontal="center" vertical="center" textRotation="90"/>
      <protection locked="0"/>
    </xf>
    <xf numFmtId="0" fontId="31" fillId="5" borderId="14" xfId="0" applyFont="1" applyFill="1" applyBorder="1" applyAlignment="1" applyProtection="1">
      <alignment horizontal="center" vertical="center" textRotation="90"/>
      <protection locked="0"/>
    </xf>
    <xf numFmtId="0" fontId="80" fillId="5" borderId="13" xfId="0" applyFont="1" applyFill="1" applyBorder="1" applyAlignment="1" applyProtection="1">
      <alignment horizontal="center" vertical="center"/>
      <protection locked="0"/>
    </xf>
    <xf numFmtId="0" fontId="80" fillId="5" borderId="15" xfId="0" applyFont="1" applyFill="1" applyBorder="1" applyAlignment="1" applyProtection="1">
      <alignment horizontal="center" vertical="center"/>
      <protection locked="0"/>
    </xf>
    <xf numFmtId="0" fontId="71" fillId="5" borderId="7" xfId="0" applyFont="1" applyFill="1" applyBorder="1" applyAlignment="1" applyProtection="1">
      <alignment horizontal="center"/>
      <protection locked="0"/>
    </xf>
    <xf numFmtId="0" fontId="57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 applyProtection="1">
      <alignment horizontal="center" vertical="center"/>
      <protection locked="0"/>
    </xf>
    <xf numFmtId="0" fontId="13" fillId="4" borderId="1" xfId="0" applyFont="1" applyFill="1" applyBorder="1" applyAlignment="1">
      <alignment horizontal="center" vertical="center"/>
    </xf>
    <xf numFmtId="0" fontId="3" fillId="0" borderId="7" xfId="0" applyFont="1" applyBorder="1" applyAlignment="1" applyProtection="1">
      <alignment horizontal="center"/>
      <protection locked="0"/>
    </xf>
    <xf numFmtId="0" fontId="43" fillId="5" borderId="16" xfId="0" applyFont="1" applyFill="1" applyBorder="1" applyAlignment="1">
      <alignment horizontal="center" vertical="center"/>
    </xf>
    <xf numFmtId="0" fontId="43" fillId="5" borderId="10" xfId="0" applyFont="1" applyFill="1" applyBorder="1" applyAlignment="1">
      <alignment horizontal="center" vertical="center"/>
    </xf>
    <xf numFmtId="0" fontId="43" fillId="5" borderId="11" xfId="0" applyFont="1" applyFill="1" applyBorder="1" applyAlignment="1">
      <alignment horizontal="center" vertical="center"/>
    </xf>
    <xf numFmtId="0" fontId="43" fillId="5" borderId="0" xfId="0" applyFont="1" applyFill="1" applyAlignment="1">
      <alignment horizontal="center" vertical="center"/>
    </xf>
    <xf numFmtId="0" fontId="43" fillId="4" borderId="11" xfId="0" applyFont="1" applyFill="1" applyBorder="1" applyAlignment="1" applyProtection="1">
      <alignment horizontal="center" vertical="center"/>
      <protection locked="0"/>
    </xf>
    <xf numFmtId="0" fontId="43" fillId="4" borderId="0" xfId="0" applyFont="1" applyFill="1" applyAlignment="1" applyProtection="1">
      <alignment horizontal="center" vertical="center"/>
      <protection locked="0"/>
    </xf>
    <xf numFmtId="0" fontId="46" fillId="11" borderId="30" xfId="0" applyFont="1" applyFill="1" applyBorder="1" applyAlignment="1" applyProtection="1">
      <alignment horizontal="center"/>
      <protection locked="0"/>
    </xf>
    <xf numFmtId="0" fontId="46" fillId="11" borderId="31" xfId="0" applyFont="1" applyFill="1" applyBorder="1" applyAlignment="1" applyProtection="1">
      <alignment horizontal="center"/>
      <protection locked="0"/>
    </xf>
    <xf numFmtId="0" fontId="46" fillId="11" borderId="32" xfId="0" applyFont="1" applyFill="1" applyBorder="1" applyAlignment="1" applyProtection="1">
      <alignment horizontal="center"/>
      <protection locked="0"/>
    </xf>
    <xf numFmtId="0" fontId="63" fillId="5" borderId="22" xfId="0" applyFont="1" applyFill="1" applyBorder="1" applyAlignment="1" applyProtection="1">
      <alignment horizontal="center"/>
      <protection locked="0"/>
    </xf>
    <xf numFmtId="0" fontId="63" fillId="5" borderId="4" xfId="0" applyFont="1" applyFill="1" applyBorder="1" applyAlignment="1" applyProtection="1">
      <alignment horizontal="center"/>
      <protection locked="0"/>
    </xf>
    <xf numFmtId="0" fontId="85" fillId="5" borderId="36" xfId="0" applyFont="1" applyFill="1" applyBorder="1" applyAlignment="1" applyProtection="1">
      <alignment horizontal="center"/>
      <protection locked="0"/>
    </xf>
    <xf numFmtId="0" fontId="85" fillId="5" borderId="37" xfId="0" applyFont="1" applyFill="1" applyBorder="1" applyAlignment="1" applyProtection="1">
      <alignment horizontal="center"/>
      <protection locked="0"/>
    </xf>
    <xf numFmtId="0" fontId="85" fillId="5" borderId="22" xfId="0" applyFont="1" applyFill="1" applyBorder="1" applyAlignment="1" applyProtection="1">
      <alignment horizontal="center"/>
      <protection locked="0"/>
    </xf>
    <xf numFmtId="0" fontId="85" fillId="5" borderId="4" xfId="0" applyFont="1" applyFill="1" applyBorder="1" applyAlignment="1" applyProtection="1">
      <alignment horizontal="center"/>
      <protection locked="0"/>
    </xf>
    <xf numFmtId="0" fontId="65" fillId="5" borderId="22" xfId="0" applyFont="1" applyFill="1" applyBorder="1" applyAlignment="1" applyProtection="1">
      <alignment horizontal="center"/>
      <protection locked="0"/>
    </xf>
    <xf numFmtId="0" fontId="65" fillId="5" borderId="4" xfId="0" applyFont="1" applyFill="1" applyBorder="1" applyAlignment="1" applyProtection="1">
      <alignment horizontal="center"/>
      <protection locked="0"/>
    </xf>
    <xf numFmtId="0" fontId="46" fillId="0" borderId="34" xfId="0" applyFont="1" applyBorder="1" applyAlignment="1" applyProtection="1">
      <alignment horizontal="center" vertical="center"/>
      <protection locked="0"/>
    </xf>
    <xf numFmtId="0" fontId="46" fillId="0" borderId="35" xfId="0" applyFont="1" applyBorder="1" applyAlignment="1" applyProtection="1">
      <alignment horizontal="center" vertical="center"/>
      <protection locked="0"/>
    </xf>
    <xf numFmtId="0" fontId="58" fillId="5" borderId="11" xfId="0" applyFont="1" applyFill="1" applyBorder="1" applyAlignment="1">
      <alignment horizontal="center" vertical="center"/>
    </xf>
    <xf numFmtId="0" fontId="58" fillId="5" borderId="0" xfId="0" applyFont="1" applyFill="1" applyAlignment="1">
      <alignment horizontal="center" vertical="center"/>
    </xf>
    <xf numFmtId="0" fontId="86" fillId="5" borderId="2" xfId="0" applyFont="1" applyFill="1" applyBorder="1" applyAlignment="1">
      <alignment horizontal="center" vertical="center"/>
    </xf>
    <xf numFmtId="0" fontId="86" fillId="5" borderId="3" xfId="0" applyFont="1" applyFill="1" applyBorder="1" applyAlignment="1">
      <alignment horizontal="center" vertical="center"/>
    </xf>
    <xf numFmtId="0" fontId="86" fillId="5" borderId="23" xfId="0" applyFont="1" applyFill="1" applyBorder="1" applyAlignment="1">
      <alignment horizontal="center" vertical="center"/>
    </xf>
    <xf numFmtId="0" fontId="86" fillId="5" borderId="13" xfId="0" applyFont="1" applyFill="1" applyBorder="1" applyAlignment="1" applyProtection="1">
      <alignment horizontal="center" vertical="center"/>
      <protection locked="0"/>
    </xf>
    <xf numFmtId="0" fontId="86" fillId="5" borderId="15" xfId="0" applyFont="1" applyFill="1" applyBorder="1" applyAlignment="1" applyProtection="1">
      <alignment horizontal="center" vertical="center"/>
      <protection locked="0"/>
    </xf>
    <xf numFmtId="0" fontId="86" fillId="5" borderId="19" xfId="0" applyFont="1" applyFill="1" applyBorder="1" applyAlignment="1" applyProtection="1">
      <alignment horizontal="center" vertical="center"/>
      <protection locked="0"/>
    </xf>
    <xf numFmtId="0" fontId="86" fillId="5" borderId="33" xfId="0" applyFont="1" applyFill="1" applyBorder="1" applyAlignment="1" applyProtection="1">
      <alignment horizontal="center" vertical="center"/>
      <protection locked="0"/>
    </xf>
    <xf numFmtId="0" fontId="81" fillId="0" borderId="16" xfId="0" applyFont="1" applyBorder="1" applyAlignment="1" applyProtection="1">
      <alignment horizontal="center" vertical="center"/>
      <protection locked="0"/>
    </xf>
    <xf numFmtId="0" fontId="81" fillId="0" borderId="44" xfId="0" applyFont="1" applyBorder="1" applyAlignment="1" applyProtection="1">
      <alignment horizontal="center" vertical="center"/>
      <protection locked="0"/>
    </xf>
    <xf numFmtId="0" fontId="81" fillId="0" borderId="12" xfId="0" applyFont="1" applyBorder="1" applyAlignment="1" applyProtection="1">
      <alignment horizontal="center" vertical="center"/>
      <protection locked="0"/>
    </xf>
    <xf numFmtId="0" fontId="81" fillId="0" borderId="45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86" fillId="0" borderId="43" xfId="0" applyFont="1" applyBorder="1" applyAlignment="1" applyProtection="1">
      <alignment horizontal="center" vertical="center"/>
      <protection locked="0"/>
    </xf>
    <xf numFmtId="0" fontId="86" fillId="0" borderId="6" xfId="0" applyFont="1" applyBorder="1" applyAlignment="1" applyProtection="1">
      <alignment horizontal="center" vertical="center"/>
      <protection locked="0"/>
    </xf>
    <xf numFmtId="0" fontId="86" fillId="0" borderId="43" xfId="0" applyFont="1" applyBorder="1" applyAlignment="1">
      <alignment horizontal="center" vertical="center"/>
    </xf>
    <xf numFmtId="0" fontId="69" fillId="5" borderId="2" xfId="0" applyFont="1" applyFill="1" applyBorder="1" applyAlignment="1">
      <alignment horizontal="center" vertical="center"/>
    </xf>
    <xf numFmtId="0" fontId="69" fillId="5" borderId="3" xfId="0" applyFont="1" applyFill="1" applyBorder="1" applyAlignment="1">
      <alignment horizontal="center" vertical="center"/>
    </xf>
    <xf numFmtId="0" fontId="69" fillId="5" borderId="4" xfId="0" applyFont="1" applyFill="1" applyBorder="1" applyAlignment="1">
      <alignment horizontal="center" vertical="center"/>
    </xf>
    <xf numFmtId="0" fontId="71" fillId="0" borderId="6" xfId="0" applyFont="1" applyBorder="1" applyAlignment="1" applyProtection="1">
      <alignment horizontal="center" vertical="center"/>
      <protection locked="0"/>
    </xf>
    <xf numFmtId="0" fontId="74" fillId="5" borderId="6" xfId="0" applyFont="1" applyFill="1" applyBorder="1" applyAlignment="1">
      <alignment horizontal="center" vertical="center"/>
    </xf>
    <xf numFmtId="0" fontId="81" fillId="9" borderId="6" xfId="0" applyFont="1" applyFill="1" applyBorder="1" applyAlignment="1" applyProtection="1">
      <alignment horizontal="center" vertical="center"/>
      <protection locked="0"/>
    </xf>
    <xf numFmtId="0" fontId="85" fillId="5" borderId="6" xfId="0" applyFont="1" applyFill="1" applyBorder="1" applyAlignment="1">
      <alignment horizontal="left"/>
    </xf>
    <xf numFmtId="0" fontId="3" fillId="0" borderId="40" xfId="0" applyFont="1" applyBorder="1" applyAlignment="1" applyProtection="1">
      <alignment horizontal="center"/>
      <protection locked="0"/>
    </xf>
    <xf numFmtId="0" fontId="3" fillId="0" borderId="41" xfId="0" applyFont="1" applyBorder="1" applyAlignment="1" applyProtection="1">
      <alignment horizontal="center"/>
      <protection locked="0"/>
    </xf>
    <xf numFmtId="0" fontId="85" fillId="0" borderId="6" xfId="0" applyFont="1" applyBorder="1" applyAlignment="1" applyProtection="1">
      <alignment horizontal="left"/>
      <protection locked="0"/>
    </xf>
    <xf numFmtId="0" fontId="81" fillId="0" borderId="6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94" fillId="0" borderId="13" xfId="0" applyFont="1" applyBorder="1" applyAlignment="1" applyProtection="1">
      <alignment horizontal="center" vertical="center"/>
      <protection locked="0"/>
    </xf>
    <xf numFmtId="0" fontId="94" fillId="0" borderId="14" xfId="0" applyFont="1" applyBorder="1" applyAlignment="1" applyProtection="1">
      <alignment horizontal="center" vertical="center"/>
      <protection locked="0"/>
    </xf>
    <xf numFmtId="0" fontId="94" fillId="0" borderId="15" xfId="0" applyFont="1" applyBorder="1" applyAlignment="1" applyProtection="1">
      <alignment horizontal="center" vertical="center"/>
      <protection locked="0"/>
    </xf>
    <xf numFmtId="0" fontId="81" fillId="5" borderId="1" xfId="0" applyFont="1" applyFill="1" applyBorder="1" applyAlignment="1" applyProtection="1">
      <alignment horizontal="center" vertical="center" wrapText="1"/>
      <protection locked="0"/>
    </xf>
    <xf numFmtId="0" fontId="81" fillId="5" borderId="1" xfId="0" applyFont="1" applyFill="1" applyBorder="1" applyAlignment="1">
      <alignment horizontal="center" vertical="center"/>
    </xf>
    <xf numFmtId="0" fontId="81" fillId="5" borderId="13" xfId="0" applyFont="1" applyFill="1" applyBorder="1" applyAlignment="1">
      <alignment horizontal="center" vertical="center" wrapText="1"/>
    </xf>
    <xf numFmtId="0" fontId="81" fillId="5" borderId="15" xfId="0" applyFont="1" applyFill="1" applyBorder="1" applyAlignment="1">
      <alignment horizontal="center" vertical="center" wrapText="1"/>
    </xf>
    <xf numFmtId="0" fontId="69" fillId="5" borderId="1" xfId="0" applyFont="1" applyFill="1" applyBorder="1" applyAlignment="1">
      <alignment horizontal="center" vertical="center" wrapText="1"/>
    </xf>
    <xf numFmtId="0" fontId="69" fillId="5" borderId="1" xfId="0" applyFont="1" applyFill="1" applyBorder="1" applyAlignment="1">
      <alignment horizontal="center" vertical="center"/>
    </xf>
    <xf numFmtId="0" fontId="69" fillId="5" borderId="13" xfId="0" applyFont="1" applyFill="1" applyBorder="1" applyAlignment="1">
      <alignment horizontal="center" vertical="center" wrapText="1"/>
    </xf>
    <xf numFmtId="0" fontId="69" fillId="5" borderId="15" xfId="0" applyFont="1" applyFill="1" applyBorder="1" applyAlignment="1">
      <alignment horizontal="center" vertical="center" wrapText="1"/>
    </xf>
    <xf numFmtId="0" fontId="71" fillId="5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center"/>
      <protection locked="0"/>
    </xf>
    <xf numFmtId="0" fontId="7" fillId="0" borderId="4" xfId="0" applyFont="1" applyBorder="1" applyAlignment="1" applyProtection="1">
      <alignment horizontal="center"/>
      <protection locked="0"/>
    </xf>
    <xf numFmtId="0" fontId="69" fillId="5" borderId="13" xfId="0" applyFont="1" applyFill="1" applyBorder="1" applyAlignment="1">
      <alignment horizontal="center" vertical="center"/>
    </xf>
    <xf numFmtId="0" fontId="69" fillId="5" borderId="15" xfId="0" applyFont="1" applyFill="1" applyBorder="1" applyAlignment="1" applyProtection="1">
      <alignment horizontal="center" vertical="center"/>
      <protection locked="0"/>
    </xf>
    <xf numFmtId="0" fontId="34" fillId="10" borderId="1" xfId="0" applyFont="1" applyFill="1" applyBorder="1" applyAlignment="1" applyProtection="1">
      <alignment horizontal="center" textRotation="90"/>
      <protection locked="0"/>
    </xf>
    <xf numFmtId="0" fontId="0" fillId="10" borderId="1" xfId="0" applyFill="1" applyBorder="1" applyAlignment="1" applyProtection="1">
      <alignment horizontal="center" textRotation="90"/>
      <protection locked="0"/>
    </xf>
    <xf numFmtId="0" fontId="6" fillId="3" borderId="1" xfId="0" applyFont="1" applyFill="1" applyBorder="1" applyAlignment="1" applyProtection="1">
      <alignment horizontal="center" vertical="center" textRotation="90"/>
      <protection locked="0"/>
    </xf>
    <xf numFmtId="0" fontId="31" fillId="2" borderId="13" xfId="0" applyFont="1" applyFill="1" applyBorder="1" applyAlignment="1" applyProtection="1">
      <alignment horizontal="center" vertical="center" textRotation="90"/>
      <protection locked="0"/>
    </xf>
    <xf numFmtId="0" fontId="31" fillId="2" borderId="14" xfId="0" applyFont="1" applyFill="1" applyBorder="1" applyAlignment="1" applyProtection="1">
      <alignment horizontal="center" vertical="center" textRotation="90"/>
      <protection locked="0"/>
    </xf>
    <xf numFmtId="0" fontId="69" fillId="5" borderId="5" xfId="0" applyFont="1" applyFill="1" applyBorder="1" applyAlignment="1">
      <alignment horizontal="center" vertical="center" wrapText="1"/>
    </xf>
    <xf numFmtId="0" fontId="69" fillId="5" borderId="8" xfId="0" applyFont="1" applyFill="1" applyBorder="1" applyAlignment="1">
      <alignment horizontal="center" vertical="center" wrapText="1"/>
    </xf>
    <xf numFmtId="0" fontId="69" fillId="5" borderId="38" xfId="0" applyFont="1" applyFill="1" applyBorder="1" applyAlignment="1">
      <alignment horizontal="center" vertical="center" wrapText="1"/>
    </xf>
    <xf numFmtId="0" fontId="69" fillId="5" borderId="26" xfId="0" applyFont="1" applyFill="1" applyBorder="1" applyAlignment="1">
      <alignment horizontal="center" vertical="center" wrapText="1"/>
    </xf>
    <xf numFmtId="0" fontId="69" fillId="5" borderId="1" xfId="0" applyFont="1" applyFill="1" applyBorder="1" applyAlignment="1" applyProtection="1">
      <alignment horizontal="center" vertical="center" wrapText="1"/>
      <protection locked="0"/>
    </xf>
    <xf numFmtId="0" fontId="71" fillId="5" borderId="1" xfId="0" applyFont="1" applyFill="1" applyBorder="1" applyAlignment="1" applyProtection="1">
      <alignment horizontal="center" vertical="center" wrapText="1"/>
      <protection locked="0"/>
    </xf>
    <xf numFmtId="0" fontId="71" fillId="5" borderId="13" xfId="0" applyFont="1" applyFill="1" applyBorder="1" applyAlignment="1" applyProtection="1">
      <alignment horizontal="center" vertical="center" wrapText="1"/>
      <protection locked="0"/>
    </xf>
    <xf numFmtId="0" fontId="71" fillId="5" borderId="15" xfId="0" applyFont="1" applyFill="1" applyBorder="1" applyAlignment="1" applyProtection="1">
      <alignment horizontal="center" vertical="center" wrapText="1"/>
      <protection locked="0"/>
    </xf>
    <xf numFmtId="0" fontId="69" fillId="5" borderId="1" xfId="0" applyFont="1" applyFill="1" applyBorder="1" applyAlignment="1" applyProtection="1">
      <alignment horizontal="center" vertical="center"/>
      <protection locked="0"/>
    </xf>
    <xf numFmtId="0" fontId="69" fillId="5" borderId="13" xfId="0" applyFont="1" applyFill="1" applyBorder="1" applyAlignment="1" applyProtection="1">
      <alignment horizontal="center" vertical="center"/>
      <protection locked="0"/>
    </xf>
    <xf numFmtId="0" fontId="69" fillId="5" borderId="31" xfId="0" applyFont="1" applyFill="1" applyBorder="1" applyAlignment="1">
      <alignment horizontal="center" vertical="center"/>
    </xf>
    <xf numFmtId="0" fontId="69" fillId="5" borderId="30" xfId="0" applyFont="1" applyFill="1" applyBorder="1" applyAlignment="1" applyProtection="1">
      <alignment horizontal="center" vertical="center" wrapText="1"/>
      <protection locked="0"/>
    </xf>
    <xf numFmtId="0" fontId="69" fillId="5" borderId="17" xfId="0" applyFont="1" applyFill="1" applyBorder="1" applyAlignment="1" applyProtection="1">
      <alignment horizontal="center" vertical="center" wrapText="1"/>
      <protection locked="0"/>
    </xf>
    <xf numFmtId="0" fontId="69" fillId="5" borderId="42" xfId="0" applyFont="1" applyFill="1" applyBorder="1" applyAlignment="1" applyProtection="1">
      <alignment horizontal="center" vertical="center" wrapText="1"/>
      <protection locked="0"/>
    </xf>
    <xf numFmtId="0" fontId="69" fillId="5" borderId="15" xfId="0" applyFont="1" applyFill="1" applyBorder="1" applyAlignment="1" applyProtection="1">
      <alignment horizontal="center" vertical="center" wrapText="1"/>
      <protection locked="0"/>
    </xf>
    <xf numFmtId="0" fontId="69" fillId="5" borderId="10" xfId="0" applyFont="1" applyFill="1" applyBorder="1" applyAlignment="1" applyProtection="1">
      <alignment horizontal="center" vertical="center"/>
      <protection locked="0"/>
    </xf>
    <xf numFmtId="0" fontId="69" fillId="5" borderId="35" xfId="0" applyFont="1" applyFill="1" applyBorder="1" applyAlignment="1" applyProtection="1">
      <alignment horizontal="center" vertical="center"/>
      <protection locked="0"/>
    </xf>
    <xf numFmtId="0" fontId="69" fillId="5" borderId="10" xfId="0" applyFont="1" applyFill="1" applyBorder="1" applyAlignment="1" applyProtection="1">
      <alignment horizontal="center" vertical="center" wrapText="1"/>
      <protection locked="0"/>
    </xf>
    <xf numFmtId="0" fontId="69" fillId="5" borderId="35" xfId="0" applyFont="1" applyFill="1" applyBorder="1" applyAlignment="1" applyProtection="1">
      <alignment horizontal="center" vertical="center" wrapText="1"/>
      <protection locked="0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!@%20dlxgf%20eGbf%20a9L%20efvf%20gf3]sf]%20C0fsf]%20nflu%20sf]ifsf]%20Aoj:yf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opLeftCell="A3" zoomScale="110" zoomScaleNormal="110" workbookViewId="0">
      <selection activeCell="E4" sqref="E4"/>
    </sheetView>
  </sheetViews>
  <sheetFormatPr defaultColWidth="9.140625" defaultRowHeight="23.25" x14ac:dyDescent="0.35"/>
  <cols>
    <col min="1" max="1" width="33.5703125" style="96" bestFit="1" customWidth="1"/>
    <col min="2" max="2" width="30.140625" style="96" bestFit="1" customWidth="1"/>
    <col min="3" max="3" width="54.140625" style="96" bestFit="1" customWidth="1"/>
    <col min="4" max="4" width="35" style="96" bestFit="1" customWidth="1"/>
    <col min="5" max="5" width="55.42578125" style="96" bestFit="1" customWidth="1"/>
    <col min="6" max="6" width="17.140625" style="96" customWidth="1"/>
    <col min="7" max="16384" width="9.140625" style="96"/>
  </cols>
  <sheetData>
    <row r="1" spans="1:5" ht="35.1" customHeight="1" thickTop="1" thickBot="1" x14ac:dyDescent="0.4">
      <c r="A1" s="327" t="s">
        <v>345</v>
      </c>
      <c r="B1" s="388" t="s">
        <v>342</v>
      </c>
      <c r="C1" s="388"/>
      <c r="D1" s="388"/>
      <c r="E1" s="327" t="s">
        <v>343</v>
      </c>
    </row>
    <row r="2" spans="1:5" ht="35.1" customHeight="1" thickTop="1" thickBot="1" x14ac:dyDescent="0.4">
      <c r="A2" s="328" t="s">
        <v>341</v>
      </c>
      <c r="B2" s="328" t="s">
        <v>290</v>
      </c>
      <c r="C2" s="328" t="s">
        <v>302</v>
      </c>
      <c r="D2" s="328" t="s">
        <v>314</v>
      </c>
      <c r="E2" s="328" t="s">
        <v>325</v>
      </c>
    </row>
    <row r="3" spans="1:5" ht="35.1" customHeight="1" thickTop="1" thickBot="1" x14ac:dyDescent="0.4">
      <c r="A3" s="328" t="s">
        <v>331</v>
      </c>
      <c r="B3" s="328" t="s">
        <v>291</v>
      </c>
      <c r="C3" s="328" t="s">
        <v>303</v>
      </c>
      <c r="D3" s="328" t="s">
        <v>315</v>
      </c>
      <c r="E3" s="329" t="s">
        <v>326</v>
      </c>
    </row>
    <row r="4" spans="1:5" ht="35.1" customHeight="1" thickTop="1" thickBot="1" x14ac:dyDescent="0.4">
      <c r="A4" s="328" t="s">
        <v>566</v>
      </c>
      <c r="B4" s="328" t="s">
        <v>292</v>
      </c>
      <c r="C4" s="328" t="s">
        <v>304</v>
      </c>
      <c r="D4" s="328" t="s">
        <v>316</v>
      </c>
      <c r="E4" s="328" t="s">
        <v>327</v>
      </c>
    </row>
    <row r="5" spans="1:5" ht="35.1" customHeight="1" thickTop="1" thickBot="1" x14ac:dyDescent="0.4">
      <c r="A5" s="328" t="s">
        <v>332</v>
      </c>
      <c r="B5" s="328" t="s">
        <v>293</v>
      </c>
      <c r="C5" s="328" t="s">
        <v>305</v>
      </c>
      <c r="D5" s="328" t="s">
        <v>317</v>
      </c>
      <c r="E5" s="328" t="s">
        <v>328</v>
      </c>
    </row>
    <row r="6" spans="1:5" ht="35.1" customHeight="1" thickTop="1" thickBot="1" x14ac:dyDescent="0.4">
      <c r="A6" s="328" t="s">
        <v>333</v>
      </c>
      <c r="B6" s="328" t="s">
        <v>294</v>
      </c>
      <c r="C6" s="328" t="s">
        <v>306</v>
      </c>
      <c r="D6" s="328" t="s">
        <v>318</v>
      </c>
      <c r="E6" s="328" t="s">
        <v>329</v>
      </c>
    </row>
    <row r="7" spans="1:5" ht="35.1" customHeight="1" thickTop="1" thickBot="1" x14ac:dyDescent="0.4">
      <c r="A7" s="328" t="s">
        <v>334</v>
      </c>
      <c r="B7" s="328" t="s">
        <v>295</v>
      </c>
      <c r="C7" s="328" t="s">
        <v>307</v>
      </c>
      <c r="D7" s="328" t="s">
        <v>319</v>
      </c>
      <c r="E7" s="328" t="s">
        <v>330</v>
      </c>
    </row>
    <row r="8" spans="1:5" ht="35.1" customHeight="1" thickTop="1" thickBot="1" x14ac:dyDescent="0.4">
      <c r="A8" s="328" t="s">
        <v>335</v>
      </c>
      <c r="B8" s="328" t="s">
        <v>296</v>
      </c>
      <c r="C8" s="328" t="s">
        <v>308</v>
      </c>
      <c r="D8" s="328" t="s">
        <v>320</v>
      </c>
      <c r="E8" s="329" t="s">
        <v>344</v>
      </c>
    </row>
    <row r="9" spans="1:5" ht="35.1" customHeight="1" thickTop="1" thickBot="1" x14ac:dyDescent="0.4">
      <c r="A9" s="328" t="s">
        <v>337</v>
      </c>
      <c r="B9" s="328" t="s">
        <v>297</v>
      </c>
      <c r="C9" s="328" t="s">
        <v>309</v>
      </c>
      <c r="D9" s="328" t="s">
        <v>321</v>
      </c>
      <c r="E9" s="329"/>
    </row>
    <row r="10" spans="1:5" ht="35.1" customHeight="1" thickTop="1" thickBot="1" x14ac:dyDescent="0.4">
      <c r="A10" s="328" t="s">
        <v>336</v>
      </c>
      <c r="B10" s="328" t="s">
        <v>298</v>
      </c>
      <c r="C10" s="330" t="s">
        <v>310</v>
      </c>
      <c r="D10" s="330" t="s">
        <v>322</v>
      </c>
      <c r="E10" s="329"/>
    </row>
    <row r="11" spans="1:5" ht="35.1" customHeight="1" thickTop="1" thickBot="1" x14ac:dyDescent="0.4">
      <c r="A11" s="328" t="s">
        <v>338</v>
      </c>
      <c r="B11" s="328" t="s">
        <v>299</v>
      </c>
      <c r="C11" s="328" t="s">
        <v>311</v>
      </c>
      <c r="D11" s="328" t="s">
        <v>323</v>
      </c>
      <c r="E11" s="329"/>
    </row>
    <row r="12" spans="1:5" ht="35.1" customHeight="1" thickTop="1" thickBot="1" x14ac:dyDescent="0.4">
      <c r="A12" s="328" t="s">
        <v>339</v>
      </c>
      <c r="B12" s="328" t="s">
        <v>300</v>
      </c>
      <c r="C12" s="328" t="s">
        <v>312</v>
      </c>
      <c r="D12" s="328" t="s">
        <v>324</v>
      </c>
      <c r="E12" s="329"/>
    </row>
    <row r="13" spans="1:5" ht="35.1" customHeight="1" thickTop="1" thickBot="1" x14ac:dyDescent="0.4">
      <c r="A13" s="328" t="s">
        <v>340</v>
      </c>
      <c r="B13" s="328" t="s">
        <v>301</v>
      </c>
      <c r="C13" s="328" t="s">
        <v>313</v>
      </c>
      <c r="D13" s="329"/>
      <c r="E13" s="329"/>
    </row>
    <row r="14" spans="1:5" ht="24" thickTop="1" x14ac:dyDescent="0.35"/>
  </sheetData>
  <mergeCells count="1">
    <mergeCell ref="B1:D1"/>
  </mergeCells>
  <phoneticPr fontId="24" type="noConversion"/>
  <hyperlinks>
    <hyperlink ref="A2" location="Home!A1" display="होम पेज"/>
    <hyperlink ref="A3" location="'Member Projection sheet '!A1" display="सदस्यता अनुमान"/>
    <hyperlink ref="A4" location="'BS WS'!A1" display="वासलात अनुमान कार्यसीट"/>
    <hyperlink ref="A5" location="'Loan Aging WS'!A1" display="ऋणको ऐजिंग बिवरण"/>
    <hyperlink ref="A6" location="'Saving Details'!A1" display="बचतको बिस्तृत बिवरण"/>
    <hyperlink ref="A7" location="'FA Details '!A1" display="स्थिर सम्पति बिस्तृत बिवरण "/>
    <hyperlink ref="A8" location="'Final BS'!A1" display="अन्तिम वासलात"/>
    <hyperlink ref="A9" location="'Income Summary'!A1" display="आम्दानी सारांश बिवरण"/>
    <hyperlink ref="A10" location="'Exp Summary'!A1" display="खर्च सारांश बिवरण"/>
    <hyperlink ref="A11" location="'Final PL'!A1" display="अन्तिम नाफा नोक्सान बिवरण"/>
    <hyperlink ref="A12" location="'PL Appropiation'!A1" display="नाफा बाँडफाड बिवरण"/>
    <hyperlink ref="A13" location="'Final PEARLS'!A1" display="अन्तिम पर्ल्स"/>
    <hyperlink ref="B2" location="'150.3.1.1'!A1" display="कर्मचारी खर्च"/>
    <hyperlink ref="B3" location="'150.3.1.2'!A1" display="पानी, बिजुली तथा सरसफाई"/>
    <hyperlink ref="B4" location="'150.3.1.3'!A1" display="बैंक शुल्क"/>
    <hyperlink ref="B5" location="'150.3.1.4'!A1" display="मसलन्द तथा छपाई"/>
    <hyperlink ref="B6" location="'150.3.1.5'!A1" display="सूचना तथा संचार"/>
    <hyperlink ref="B7" location="'150.3.1.6'!A1" display="भाडा खर्च"/>
    <hyperlink ref="B8" location="'150.3.1.7'!A1" display="लेखापरीक्षण शुल्क"/>
    <hyperlink ref="B9" location="'150.3.1.8'!A1" display="लेखापरीक्षण खर्च"/>
    <hyperlink ref="B10" location="'150.3.1.9'!A1" display="व्यवसायिक परामर्श शुल्क"/>
    <hyperlink ref="B11" location="'150.3.1.10'!A1" display="मर्मत तथा सम्भार"/>
    <hyperlink ref="B12" location="'150.3.1.11'!A1" display="इन्धन खर्च"/>
    <hyperlink ref="B13" location="'150.3.1.12'!A1" display="बिमा प्रिमियम खर्च"/>
    <hyperlink ref="C2" location="'150.3.1.13'!A1" display="बैठक भत्ता"/>
    <hyperlink ref="C3" location="'150.3.1.14'!A1" display="दर्ता, नबिकरण तथा अन्य कर"/>
    <hyperlink ref="C4" location="'150.3.1.15'!A1" display="प्रशिक्षण तथा गोष्ठी"/>
    <hyperlink ref="C5" location="'150.3.1.16'!A1" display="अनुशन्धान तथा विकास"/>
    <hyperlink ref="C6" location="'150.3.1.17'!A1" display="सम्मान तथा पुरस्कार"/>
    <hyperlink ref="C7" location="'150.3.1.18'!A1" display="साधारण तथा बिस्तारित मन्च"/>
    <hyperlink ref="C8" location="'150.3.1.21'!A1" display="बिपत व्यवस्थापन"/>
    <hyperlink ref="C9" location="'150.3.1.20'!A1" display="उत्सव तथा प्रोत्साहन खर्च (सामाजिक क्रियाकलाप)"/>
    <hyperlink ref="C10" location="'150.3.1.21'!A1" display="अध्यनन तथा अवलोकन खर्च"/>
    <hyperlink ref="C11" location="'150.3.1.22'!A1" display="सुरक्षा खर्च"/>
    <hyperlink ref="C12" location="'150.3.1.23'!A1" display="अतिथि सत्कार खर्च"/>
    <hyperlink ref="C13" location="'150.3.1.24'!A1" display="अपलेखन खर्च"/>
    <hyperlink ref="D2" location="'150.3.1.25'!A1" display="बजारीकरण तथा प्रवर्धन खर्च"/>
    <hyperlink ref="D3" location="'150.3.1.26'!A1" display="यातायात तथा दैनिक भ्रमण भत्ता"/>
    <hyperlink ref="D4" location="'150.3.1.27'!A1" display="ऋण प्रक्रियागत खर्च"/>
    <hyperlink ref="D5" location="'150.3.1.28'!A1" display="ह्रास खर्च"/>
    <hyperlink ref="D6" location="'150.3.1.29'!A1" display="अवमुल्यन खर्च"/>
    <hyperlink ref="D7" location="'150.3.1.30'!A1" display="अन्य खर्च"/>
    <hyperlink ref="D8" location="'150.3.1.31'!A1" display="कार्यालय चिया तथा बैठक खर्च"/>
    <hyperlink ref="D9" location="'150.3.1.32'!A1" display="सदस्य हेरचाह खर्च"/>
    <hyperlink ref="D10" location="'150.3.2.1'!A1" display="वित्तीय लागत खर्च"/>
    <hyperlink ref="D11" location="'150.3.2.2'!A1" display="बाह्य ऋणको ब्याज खर्च"/>
    <hyperlink ref="D12" location="'150.3.3'!A1" display="जोखिम व्यवस्थापन खर्च"/>
    <hyperlink ref="E2" location="'160.1'!A1" display="वित्तीय लगानिबाट आम्दानी"/>
    <hyperlink ref="E4" location="'160.3'!A1" display="ऋण लगानीबाट आम्दानी"/>
    <hyperlink ref="E5" location="'160.4'!A1" display="सेवा सन्चालनबाट आम्दानी"/>
    <hyperlink ref="E6" location="'160.5'!A1" display="बिक्रीबाट आम्दानी (ऋण व्यवस्थापन बाट आम्दानी)"/>
    <hyperlink ref="E7" location="'160.6'!A1" display="अन्य आम्दानी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B4" sqref="B4"/>
    </sheetView>
  </sheetViews>
  <sheetFormatPr defaultColWidth="8.7109375" defaultRowHeight="15" x14ac:dyDescent="0.25"/>
  <cols>
    <col min="1" max="1" width="13.85546875" style="2" bestFit="1" customWidth="1"/>
    <col min="2" max="2" width="38.140625" style="2" bestFit="1" customWidth="1"/>
    <col min="3" max="3" width="20.28515625" style="2" bestFit="1" customWidth="1"/>
    <col min="4" max="16384" width="8.7109375" style="2"/>
  </cols>
  <sheetData>
    <row r="1" spans="1:3" ht="23.25" thickBot="1" x14ac:dyDescent="0.35">
      <c r="A1" s="411" t="s">
        <v>204</v>
      </c>
      <c r="B1" s="411"/>
      <c r="C1" s="411"/>
    </row>
    <row r="2" spans="1:3" s="200" customFormat="1" ht="41.45" customHeight="1" x14ac:dyDescent="0.25">
      <c r="A2" s="247" t="s">
        <v>389</v>
      </c>
      <c r="B2" s="199" t="s">
        <v>343</v>
      </c>
      <c r="C2" s="276" t="str">
        <f>Home!C4</f>
        <v>आ.व. २०८२/०८३</v>
      </c>
    </row>
    <row r="3" spans="1:3" ht="21.75" x14ac:dyDescent="0.4">
      <c r="A3" s="201">
        <v>160.1</v>
      </c>
      <c r="B3" s="202" t="s">
        <v>390</v>
      </c>
      <c r="C3" s="104">
        <f>'160.1'!D4</f>
        <v>0</v>
      </c>
    </row>
    <row r="4" spans="1:3" ht="21.75" x14ac:dyDescent="0.4">
      <c r="A4" s="201">
        <v>160.19999999999999</v>
      </c>
      <c r="B4" s="202" t="s">
        <v>391</v>
      </c>
      <c r="C4" s="33"/>
    </row>
    <row r="5" spans="1:3" ht="21.75" x14ac:dyDescent="0.4">
      <c r="A5" s="201">
        <v>160.30000000000001</v>
      </c>
      <c r="B5" s="202" t="s">
        <v>327</v>
      </c>
      <c r="C5" s="104">
        <f>'160.3'!D4</f>
        <v>0</v>
      </c>
    </row>
    <row r="6" spans="1:3" ht="21.75" x14ac:dyDescent="0.4">
      <c r="A6" s="201">
        <v>160.4</v>
      </c>
      <c r="B6" s="202" t="s">
        <v>392</v>
      </c>
      <c r="C6" s="104">
        <f>'160.4'!F10</f>
        <v>0</v>
      </c>
    </row>
    <row r="7" spans="1:3" ht="21.75" x14ac:dyDescent="0.4">
      <c r="A7" s="201">
        <v>160.5</v>
      </c>
      <c r="B7" s="202" t="s">
        <v>395</v>
      </c>
      <c r="C7" s="104">
        <f>'160.5'!F8</f>
        <v>0</v>
      </c>
    </row>
    <row r="8" spans="1:3" ht="21.75" x14ac:dyDescent="0.4">
      <c r="A8" s="201">
        <v>160.6</v>
      </c>
      <c r="B8" s="202" t="s">
        <v>330</v>
      </c>
      <c r="C8" s="104">
        <f>'160.6'!F8</f>
        <v>2410</v>
      </c>
    </row>
    <row r="9" spans="1:3" ht="21.75" x14ac:dyDescent="0.4">
      <c r="A9" s="201">
        <v>160.69999999999999</v>
      </c>
      <c r="B9" s="202" t="s">
        <v>393</v>
      </c>
      <c r="C9" s="355">
        <f>'Loan Aging WS'!P6</f>
        <v>0</v>
      </c>
    </row>
    <row r="10" spans="1:3" s="46" customFormat="1" ht="20.100000000000001" customHeight="1" thickBot="1" x14ac:dyDescent="0.55000000000000004">
      <c r="A10" s="103"/>
      <c r="B10" s="203" t="s">
        <v>394</v>
      </c>
      <c r="C10" s="102">
        <f>SUM(C3:C9)</f>
        <v>2410</v>
      </c>
    </row>
  </sheetData>
  <sheetProtection formatCells="0" formatColumns="0" formatRows="0" insertColumns="0"/>
  <mergeCells count="1">
    <mergeCell ref="A1:C1"/>
  </mergeCells>
  <phoneticPr fontId="24" type="noConversion"/>
  <pageMargins left="0.7" right="0.7" top="0.75" bottom="0.75" header="0.3" footer="0.3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4"/>
  <sheetViews>
    <sheetView view="pageBreakPreview" zoomScale="90" zoomScaleNormal="100" zoomScaleSheetLayoutView="90" workbookViewId="0">
      <selection activeCell="C11" sqref="C11"/>
    </sheetView>
  </sheetViews>
  <sheetFormatPr defaultColWidth="9.140625" defaultRowHeight="15" x14ac:dyDescent="0.25"/>
  <cols>
    <col min="1" max="1" width="6.42578125" style="66" customWidth="1"/>
    <col min="2" max="2" width="41.140625" style="66" bestFit="1" customWidth="1"/>
    <col min="3" max="3" width="23.42578125" style="66" bestFit="1" customWidth="1"/>
    <col min="4" max="4" width="20.5703125" style="66" customWidth="1"/>
    <col min="5" max="16384" width="9.140625" style="66"/>
  </cols>
  <sheetData>
    <row r="1" spans="2:3" ht="25.5" x14ac:dyDescent="0.25">
      <c r="B1" s="412" t="str">
        <f>Home!A1</f>
        <v xml:space="preserve"> बचत तथा ऋण सहकारी संस्था लि.</v>
      </c>
      <c r="C1" s="413"/>
    </row>
    <row r="2" spans="2:3" ht="25.5" x14ac:dyDescent="0.25">
      <c r="B2" s="414" t="str">
        <f>Home!A2</f>
        <v>ठेगाना</v>
      </c>
      <c r="C2" s="415"/>
    </row>
    <row r="3" spans="2:3" ht="25.5" x14ac:dyDescent="0.25">
      <c r="B3" s="416" t="s">
        <v>26</v>
      </c>
      <c r="C3" s="417"/>
    </row>
    <row r="4" spans="2:3" s="179" customFormat="1" ht="30.75" thickBot="1" x14ac:dyDescent="0.35">
      <c r="B4" s="398" t="str">
        <f>Home!A3</f>
        <v xml:space="preserve">आ.व. २०८२/८३ </v>
      </c>
      <c r="C4" s="399"/>
    </row>
    <row r="5" spans="2:3" s="179" customFormat="1" ht="24" thickBot="1" x14ac:dyDescent="0.55000000000000004">
      <c r="B5" s="180" t="s">
        <v>195</v>
      </c>
      <c r="C5" s="256" t="str">
        <f>Home!C4</f>
        <v>आ.व. २०८२/०८३</v>
      </c>
    </row>
    <row r="6" spans="2:3" ht="19.5" x14ac:dyDescent="0.4">
      <c r="B6" s="149" t="s">
        <v>19</v>
      </c>
      <c r="C6" s="157">
        <f>ROUND('Income Summary'!C5,-2)</f>
        <v>0</v>
      </c>
    </row>
    <row r="7" spans="2:3" ht="19.5" x14ac:dyDescent="0.4">
      <c r="B7" s="149" t="s">
        <v>450</v>
      </c>
      <c r="C7" s="157">
        <f>ROUND('Exp Summary'!C35+'Exp Summary'!C36,-2)</f>
        <v>0</v>
      </c>
    </row>
    <row r="8" spans="2:3" ht="21" x14ac:dyDescent="0.45">
      <c r="B8" s="155" t="s">
        <v>27</v>
      </c>
      <c r="C8" s="286">
        <f>C6-C7</f>
        <v>0</v>
      </c>
    </row>
    <row r="9" spans="2:3" ht="19.5" x14ac:dyDescent="0.4">
      <c r="B9" s="149" t="s">
        <v>28</v>
      </c>
      <c r="C9" s="157">
        <f>ROUND('Income Summary'!C3+'Income Summary'!C4+'Income Summary'!C6+'Income Summary'!C7+'Income Summary'!C8,-2)</f>
        <v>2400</v>
      </c>
    </row>
    <row r="10" spans="2:3" ht="21" x14ac:dyDescent="0.4">
      <c r="B10" s="156" t="s">
        <v>29</v>
      </c>
      <c r="C10" s="286">
        <f>C8+C9</f>
        <v>2400</v>
      </c>
    </row>
    <row r="11" spans="2:3" ht="19.5" x14ac:dyDescent="0.4">
      <c r="B11" s="149" t="s">
        <v>20</v>
      </c>
      <c r="C11" s="157">
        <f>ROUND('Exp Summary'!C38-'Exp Summary'!C35-'Exp Summary'!C36-'Exp Summary'!C37-'Exp Summary'!C30,-2)</f>
        <v>1502400</v>
      </c>
    </row>
    <row r="12" spans="2:3" ht="19.5" x14ac:dyDescent="0.4">
      <c r="B12" s="149" t="s">
        <v>21</v>
      </c>
      <c r="C12" s="157">
        <f>ROUND('Exp Summary'!C30,-2)</f>
        <v>0</v>
      </c>
    </row>
    <row r="13" spans="2:3" ht="21" x14ac:dyDescent="0.4">
      <c r="B13" s="156" t="s">
        <v>30</v>
      </c>
      <c r="C13" s="158">
        <f>C10-C11-C12</f>
        <v>-1500000</v>
      </c>
    </row>
    <row r="14" spans="2:3" ht="19.5" x14ac:dyDescent="0.4">
      <c r="B14" s="150" t="s">
        <v>31</v>
      </c>
      <c r="C14" s="157">
        <f>ROUND('Exp Summary'!C37,-2)</f>
        <v>0</v>
      </c>
    </row>
    <row r="15" spans="2:3" ht="21" x14ac:dyDescent="0.4">
      <c r="B15" s="156" t="s">
        <v>32</v>
      </c>
      <c r="C15" s="158">
        <f>C13-C14</f>
        <v>-1500000</v>
      </c>
    </row>
    <row r="16" spans="2:3" ht="19.5" x14ac:dyDescent="0.4">
      <c r="B16" s="150" t="s">
        <v>33</v>
      </c>
      <c r="C16" s="151"/>
    </row>
    <row r="17" spans="2:3" ht="19.5" x14ac:dyDescent="0.4">
      <c r="B17" s="150" t="s">
        <v>34</v>
      </c>
      <c r="C17" s="157">
        <f>ROUND('Income Summary'!C9,-2)</f>
        <v>0</v>
      </c>
    </row>
    <row r="18" spans="2:3" ht="21" x14ac:dyDescent="0.4">
      <c r="B18" s="156" t="s">
        <v>35</v>
      </c>
      <c r="C18" s="158">
        <f>C15+C16+C17</f>
        <v>-1500000</v>
      </c>
    </row>
    <row r="19" spans="2:3" ht="19.5" x14ac:dyDescent="0.4">
      <c r="B19" s="150" t="s">
        <v>36</v>
      </c>
      <c r="C19" s="152"/>
    </row>
    <row r="20" spans="2:3" ht="21" x14ac:dyDescent="0.4">
      <c r="B20" s="156" t="s">
        <v>37</v>
      </c>
      <c r="C20" s="158">
        <f>C18+C19</f>
        <v>-1500000</v>
      </c>
    </row>
    <row r="21" spans="2:3" ht="19.5" x14ac:dyDescent="0.4">
      <c r="B21" s="153" t="s">
        <v>22</v>
      </c>
      <c r="C21" s="154"/>
    </row>
    <row r="22" spans="2:3" ht="21" x14ac:dyDescent="0.45">
      <c r="B22" s="155" t="s">
        <v>23</v>
      </c>
      <c r="C22" s="286">
        <f>C20-C21</f>
        <v>-1500000</v>
      </c>
    </row>
    <row r="23" spans="2:3" ht="19.5" x14ac:dyDescent="0.4">
      <c r="B23" s="153" t="s">
        <v>24</v>
      </c>
      <c r="C23" s="287">
        <f>C22*20%</f>
        <v>-300000</v>
      </c>
    </row>
    <row r="24" spans="2:3" ht="21" x14ac:dyDescent="0.4">
      <c r="B24" s="156" t="s">
        <v>25</v>
      </c>
      <c r="C24" s="286">
        <f>C22-C23</f>
        <v>-1200000</v>
      </c>
    </row>
  </sheetData>
  <sheetProtection formatCells="0" formatColumns="0" formatRows="0" insertColumns="0" insertRows="0"/>
  <mergeCells count="4">
    <mergeCell ref="B1:C1"/>
    <mergeCell ref="B2:C2"/>
    <mergeCell ref="B3:C3"/>
    <mergeCell ref="B4:C4"/>
  </mergeCells>
  <pageMargins left="0.7" right="0.7" top="0.75" bottom="0.75" header="0.3" footer="0.3"/>
  <pageSetup paperSize="9" scale="7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E3" sqref="E3"/>
    </sheetView>
  </sheetViews>
  <sheetFormatPr defaultColWidth="8.7109375" defaultRowHeight="15" x14ac:dyDescent="0.25"/>
  <cols>
    <col min="1" max="1" width="4.42578125" style="2" bestFit="1" customWidth="1"/>
    <col min="2" max="2" width="26.140625" style="2" bestFit="1" customWidth="1"/>
    <col min="3" max="3" width="7.140625" style="2" bestFit="1" customWidth="1"/>
    <col min="4" max="4" width="20.42578125" style="2" bestFit="1" customWidth="1"/>
    <col min="5" max="5" width="18.5703125" style="2" bestFit="1" customWidth="1"/>
    <col min="6" max="16384" width="8.7109375" style="2"/>
  </cols>
  <sheetData>
    <row r="1" spans="1:5" ht="18" x14ac:dyDescent="0.35">
      <c r="A1" s="418" t="s">
        <v>451</v>
      </c>
      <c r="B1" s="419"/>
      <c r="C1" s="419"/>
      <c r="D1" s="420"/>
      <c r="E1" s="420"/>
    </row>
    <row r="2" spans="1:5" s="194" customFormat="1" ht="21.75" x14ac:dyDescent="0.4">
      <c r="A2" s="204" t="s">
        <v>388</v>
      </c>
      <c r="B2" s="205" t="s">
        <v>195</v>
      </c>
      <c r="C2" s="205" t="s">
        <v>453</v>
      </c>
      <c r="D2" s="288" t="str">
        <f>Home!B4</f>
        <v>असार मसान्तको</v>
      </c>
      <c r="E2" s="288" t="str">
        <f>Home!C4</f>
        <v>आ.व. २०८२/०८३</v>
      </c>
    </row>
    <row r="3" spans="1:5" ht="21" x14ac:dyDescent="0.45">
      <c r="A3" s="427" t="s">
        <v>454</v>
      </c>
      <c r="B3" s="428"/>
      <c r="C3" s="105"/>
      <c r="D3" s="106"/>
      <c r="E3" s="289">
        <f>'Final PL'!C24</f>
        <v>-1200000</v>
      </c>
    </row>
    <row r="4" spans="1:5" ht="19.5" x14ac:dyDescent="0.35">
      <c r="A4" s="206">
        <v>1</v>
      </c>
      <c r="B4" s="207" t="s">
        <v>455</v>
      </c>
      <c r="C4" s="107">
        <v>0.25</v>
      </c>
      <c r="D4" s="349">
        <f>$D$3*C4</f>
        <v>0</v>
      </c>
      <c r="E4" s="290">
        <f>E3*$C$4</f>
        <v>-300000</v>
      </c>
    </row>
    <row r="5" spans="1:5" ht="19.5" x14ac:dyDescent="0.35">
      <c r="A5" s="425" t="s">
        <v>456</v>
      </c>
      <c r="B5" s="426"/>
      <c r="C5" s="108">
        <v>1</v>
      </c>
      <c r="D5" s="350">
        <f>D3-D4</f>
        <v>0</v>
      </c>
      <c r="E5" s="277">
        <f>E3-E4</f>
        <v>-900000</v>
      </c>
    </row>
    <row r="6" spans="1:5" ht="19.5" x14ac:dyDescent="0.35">
      <c r="A6" s="206">
        <v>2</v>
      </c>
      <c r="B6" s="207" t="s">
        <v>457</v>
      </c>
      <c r="C6" s="107">
        <v>0.25</v>
      </c>
      <c r="D6" s="349">
        <f>$D$5*C6</f>
        <v>0</v>
      </c>
      <c r="E6" s="277">
        <f>$E$5*$C$6</f>
        <v>-225000</v>
      </c>
    </row>
    <row r="7" spans="1:5" ht="19.5" x14ac:dyDescent="0.35">
      <c r="A7" s="206">
        <v>3</v>
      </c>
      <c r="B7" s="207" t="s">
        <v>458</v>
      </c>
      <c r="C7" s="109">
        <v>5.0000000000000001E-3</v>
      </c>
      <c r="D7" s="349">
        <f>$D$5*C7</f>
        <v>0</v>
      </c>
      <c r="E7" s="277">
        <f>$E$5*C7</f>
        <v>-4500</v>
      </c>
    </row>
    <row r="8" spans="1:5" ht="19.5" x14ac:dyDescent="0.35">
      <c r="A8" s="421" t="s">
        <v>459</v>
      </c>
      <c r="B8" s="422"/>
      <c r="C8" s="110">
        <v>1</v>
      </c>
      <c r="D8" s="351">
        <f>D5-D6-D7</f>
        <v>0</v>
      </c>
      <c r="E8" s="277">
        <f>E5-E6-E7</f>
        <v>-670500</v>
      </c>
    </row>
    <row r="9" spans="1:5" ht="19.5" x14ac:dyDescent="0.35">
      <c r="A9" s="206">
        <v>4</v>
      </c>
      <c r="B9" s="207" t="s">
        <v>460</v>
      </c>
      <c r="C9" s="107">
        <v>0.05</v>
      </c>
      <c r="D9" s="349">
        <f>$D$8*C9</f>
        <v>0</v>
      </c>
      <c r="E9" s="277">
        <f t="shared" ref="E9:E16" si="0">$E$8*C9</f>
        <v>-33525</v>
      </c>
    </row>
    <row r="10" spans="1:5" ht="19.5" x14ac:dyDescent="0.35">
      <c r="A10" s="206">
        <v>5</v>
      </c>
      <c r="B10" s="207" t="s">
        <v>461</v>
      </c>
      <c r="C10" s="107">
        <v>0.65</v>
      </c>
      <c r="D10" s="349">
        <f t="shared" ref="D10:D16" si="1">$D$8*C10</f>
        <v>0</v>
      </c>
      <c r="E10" s="277">
        <f t="shared" si="0"/>
        <v>-435825</v>
      </c>
    </row>
    <row r="11" spans="1:5" ht="19.5" x14ac:dyDescent="0.35">
      <c r="A11" s="206">
        <v>6</v>
      </c>
      <c r="B11" s="207" t="s">
        <v>462</v>
      </c>
      <c r="C11" s="107">
        <v>0.05</v>
      </c>
      <c r="D11" s="349">
        <f t="shared" si="1"/>
        <v>0</v>
      </c>
      <c r="E11" s="277">
        <f t="shared" si="0"/>
        <v>-33525</v>
      </c>
    </row>
    <row r="12" spans="1:5" ht="19.5" x14ac:dyDescent="0.35">
      <c r="A12" s="206">
        <v>7</v>
      </c>
      <c r="B12" s="207" t="s">
        <v>463</v>
      </c>
      <c r="C12" s="107">
        <v>0.05</v>
      </c>
      <c r="D12" s="349">
        <f t="shared" si="1"/>
        <v>0</v>
      </c>
      <c r="E12" s="277">
        <f t="shared" si="0"/>
        <v>-33525</v>
      </c>
    </row>
    <row r="13" spans="1:5" ht="19.5" x14ac:dyDescent="0.35">
      <c r="A13" s="206">
        <v>8</v>
      </c>
      <c r="B13" s="207" t="s">
        <v>464</v>
      </c>
      <c r="C13" s="107">
        <v>0.05</v>
      </c>
      <c r="D13" s="349">
        <f t="shared" si="1"/>
        <v>0</v>
      </c>
      <c r="E13" s="277">
        <f t="shared" si="0"/>
        <v>-33525</v>
      </c>
    </row>
    <row r="14" spans="1:5" ht="19.5" x14ac:dyDescent="0.35">
      <c r="A14" s="206">
        <v>9</v>
      </c>
      <c r="B14" s="207" t="s">
        <v>465</v>
      </c>
      <c r="C14" s="107">
        <v>0.05</v>
      </c>
      <c r="D14" s="349">
        <f t="shared" si="1"/>
        <v>0</v>
      </c>
      <c r="E14" s="277">
        <f t="shared" si="0"/>
        <v>-33525</v>
      </c>
    </row>
    <row r="15" spans="1:5" ht="19.5" x14ac:dyDescent="0.35">
      <c r="A15" s="206">
        <v>10</v>
      </c>
      <c r="B15" s="207" t="s">
        <v>466</v>
      </c>
      <c r="C15" s="107">
        <v>0.05</v>
      </c>
      <c r="D15" s="349">
        <f t="shared" si="1"/>
        <v>0</v>
      </c>
      <c r="E15" s="277">
        <f t="shared" si="0"/>
        <v>-33525</v>
      </c>
    </row>
    <row r="16" spans="1:5" ht="19.5" x14ac:dyDescent="0.35">
      <c r="A16" s="206">
        <v>11</v>
      </c>
      <c r="B16" s="207" t="s">
        <v>467</v>
      </c>
      <c r="C16" s="107">
        <v>0.05</v>
      </c>
      <c r="D16" s="349">
        <f t="shared" si="1"/>
        <v>0</v>
      </c>
      <c r="E16" s="277">
        <f t="shared" si="0"/>
        <v>-33525</v>
      </c>
    </row>
    <row r="17" spans="1:5" ht="20.25" thickBot="1" x14ac:dyDescent="0.4">
      <c r="A17" s="423" t="s">
        <v>394</v>
      </c>
      <c r="B17" s="424"/>
      <c r="C17" s="111"/>
      <c r="D17" s="291">
        <f>SUM(D9:D16)</f>
        <v>0</v>
      </c>
      <c r="E17" s="291">
        <f>SUM(E9:E16)</f>
        <v>-670500</v>
      </c>
    </row>
    <row r="19" spans="1:5" ht="18" x14ac:dyDescent="0.35">
      <c r="E19" s="112"/>
    </row>
  </sheetData>
  <sheetProtection formatColumns="0" formatRows="0" insertColumns="0" insertRows="0"/>
  <mergeCells count="5">
    <mergeCell ref="A1:E1"/>
    <mergeCell ref="A8:B8"/>
    <mergeCell ref="A17:B17"/>
    <mergeCell ref="A5:B5"/>
    <mergeCell ref="A3:B3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>
      <selection activeCell="A5" sqref="A5"/>
    </sheetView>
  </sheetViews>
  <sheetFormatPr defaultColWidth="8.7109375" defaultRowHeight="18" x14ac:dyDescent="0.35"/>
  <cols>
    <col min="1" max="1" width="6.42578125" style="113" bestFit="1" customWidth="1"/>
    <col min="2" max="2" width="11.140625" style="113" bestFit="1" customWidth="1"/>
    <col min="3" max="3" width="37.42578125" style="113" customWidth="1"/>
    <col min="4" max="4" width="46.140625" style="113" hidden="1" customWidth="1"/>
    <col min="5" max="5" width="18.42578125" style="113" customWidth="1"/>
    <col min="6" max="6" width="22.42578125" style="113" hidden="1" customWidth="1"/>
    <col min="7" max="7" width="23.42578125" style="113" hidden="1" customWidth="1"/>
    <col min="8" max="8" width="12.42578125" style="113" bestFit="1" customWidth="1"/>
    <col min="9" max="16384" width="8.7109375" style="113"/>
  </cols>
  <sheetData>
    <row r="1" spans="1:8" ht="36" x14ac:dyDescent="0.35">
      <c r="A1" s="431" t="str">
        <f>Home!A1</f>
        <v xml:space="preserve"> बचत तथा ऋण सहकारी संस्था लि.</v>
      </c>
      <c r="B1" s="432"/>
      <c r="C1" s="432"/>
      <c r="D1" s="432"/>
      <c r="E1" s="432"/>
      <c r="F1" s="432"/>
      <c r="G1" s="432"/>
      <c r="H1" s="432"/>
    </row>
    <row r="2" spans="1:8" x14ac:dyDescent="0.35">
      <c r="A2" s="429" t="s">
        <v>213</v>
      </c>
      <c r="B2" s="430"/>
      <c r="C2" s="430"/>
      <c r="D2" s="430"/>
      <c r="E2" s="430"/>
      <c r="F2" s="430"/>
      <c r="G2" s="430"/>
      <c r="H2" s="430"/>
    </row>
    <row r="3" spans="1:8" x14ac:dyDescent="0.35">
      <c r="A3" s="438" t="s">
        <v>452</v>
      </c>
      <c r="B3" s="436" t="s">
        <v>468</v>
      </c>
      <c r="C3" s="436" t="s">
        <v>195</v>
      </c>
      <c r="D3" s="208"/>
      <c r="E3" s="436" t="s">
        <v>469</v>
      </c>
      <c r="F3" s="433" t="str">
        <f>Home!C4</f>
        <v>आ.व. २०८२/०८३</v>
      </c>
      <c r="G3" s="434"/>
      <c r="H3" s="435"/>
    </row>
    <row r="4" spans="1:8" s="116" customFormat="1" x14ac:dyDescent="0.35">
      <c r="A4" s="439"/>
      <c r="B4" s="437"/>
      <c r="C4" s="437"/>
      <c r="D4" s="209" t="s">
        <v>214</v>
      </c>
      <c r="E4" s="437"/>
      <c r="F4" s="114" t="s">
        <v>215</v>
      </c>
      <c r="G4" s="114" t="s">
        <v>216</v>
      </c>
      <c r="H4" s="115" t="s">
        <v>217</v>
      </c>
    </row>
    <row r="5" spans="1:8" ht="39" x14ac:dyDescent="0.35">
      <c r="A5" s="210">
        <v>1</v>
      </c>
      <c r="B5" s="211" t="s">
        <v>218</v>
      </c>
      <c r="C5" s="212" t="s">
        <v>470</v>
      </c>
      <c r="D5" s="213" t="s">
        <v>219</v>
      </c>
      <c r="E5" s="214">
        <v>1</v>
      </c>
      <c r="F5" s="292">
        <f>IF(G5*100%&gt;'BS WS'!$G$14,'BS WS'!G14,'Final PEARLS'!G5*100%)</f>
        <v>0</v>
      </c>
      <c r="G5" s="293">
        <f>'Loan Aging WS'!L6</f>
        <v>0</v>
      </c>
      <c r="H5" s="215" t="e">
        <f>F5/G5</f>
        <v>#DIV/0!</v>
      </c>
    </row>
    <row r="6" spans="1:8" ht="39" x14ac:dyDescent="0.35">
      <c r="A6" s="210">
        <v>2</v>
      </c>
      <c r="B6" s="211" t="s">
        <v>220</v>
      </c>
      <c r="C6" s="212" t="s">
        <v>477</v>
      </c>
      <c r="D6" s="213" t="s">
        <v>221</v>
      </c>
      <c r="E6" s="214">
        <v>0.35</v>
      </c>
      <c r="F6" s="292">
        <f>IF(G6*35%&gt;('BS WS'!$G$14-'Final PEARLS'!F5),('BS WS'!G14-'Final PEARLS'!F5),'Final PEARLS'!G6*35%)</f>
        <v>0</v>
      </c>
      <c r="G6" s="294">
        <f>'Loan Aging WS'!J6</f>
        <v>0</v>
      </c>
      <c r="H6" s="215" t="e">
        <f t="shared" ref="H6:H31" si="0">F6/G6</f>
        <v>#DIV/0!</v>
      </c>
    </row>
    <row r="7" spans="1:8" ht="39" x14ac:dyDescent="0.35">
      <c r="A7" s="210">
        <v>3</v>
      </c>
      <c r="B7" s="211" t="s">
        <v>222</v>
      </c>
      <c r="C7" s="212" t="s">
        <v>471</v>
      </c>
      <c r="D7" s="213" t="s">
        <v>223</v>
      </c>
      <c r="E7" s="214">
        <v>0.01</v>
      </c>
      <c r="F7" s="292">
        <f>'BS WS'!$G$14-'Final PEARLS'!F5-'Final PEARLS'!F6</f>
        <v>0</v>
      </c>
      <c r="G7" s="293">
        <f>'Loan Aging WS'!H6+'Loan Aging WS'!D6</f>
        <v>0</v>
      </c>
      <c r="H7" s="215" t="e">
        <f>F7/G7</f>
        <v>#DIV/0!</v>
      </c>
    </row>
    <row r="8" spans="1:8" ht="30" x14ac:dyDescent="0.35">
      <c r="A8" s="210">
        <v>4</v>
      </c>
      <c r="B8" s="211" t="s">
        <v>224</v>
      </c>
      <c r="C8" s="212" t="s">
        <v>472</v>
      </c>
      <c r="D8" s="213" t="s">
        <v>225</v>
      </c>
      <c r="E8" s="216" t="s">
        <v>226</v>
      </c>
      <c r="F8" s="294">
        <f>'BS WS'!G19+'BS WS'!G14-('Loan Aging WS'!L6*100%+'Loan Aging WS'!J6*35%+'BS WS'!G10+'BS WS'!G11+'BS WS'!G12+'BS WS'!G13+'BS WS'!G14+'BS WS'!G15+'BS WS'!G16)+'BS WS'!G10</f>
        <v>-1200000</v>
      </c>
      <c r="G8" s="294">
        <f>'BS WS'!G7+'BS WS'!G10</f>
        <v>0</v>
      </c>
      <c r="H8" s="215" t="e">
        <f t="shared" si="0"/>
        <v>#DIV/0!</v>
      </c>
    </row>
    <row r="9" spans="1:8" ht="30" x14ac:dyDescent="0.35">
      <c r="A9" s="210">
        <v>5</v>
      </c>
      <c r="B9" s="211" t="s">
        <v>227</v>
      </c>
      <c r="C9" s="212" t="s">
        <v>473</v>
      </c>
      <c r="D9" s="213" t="s">
        <v>228</v>
      </c>
      <c r="E9" s="216" t="s">
        <v>229</v>
      </c>
      <c r="F9" s="294">
        <f>'BS WS'!G25-('Loan Aging WS'!L6*100%+'Loan Aging WS'!J6*35%)</f>
        <v>0</v>
      </c>
      <c r="G9" s="294">
        <f>'BS WS'!$G$20</f>
        <v>0</v>
      </c>
      <c r="H9" s="215" t="e">
        <f t="shared" si="0"/>
        <v>#DIV/0!</v>
      </c>
    </row>
    <row r="10" spans="1:8" ht="30" x14ac:dyDescent="0.35">
      <c r="A10" s="210">
        <v>6</v>
      </c>
      <c r="B10" s="211" t="s">
        <v>230</v>
      </c>
      <c r="C10" s="212" t="s">
        <v>474</v>
      </c>
      <c r="D10" s="213" t="s">
        <v>231</v>
      </c>
      <c r="E10" s="217" t="s">
        <v>232</v>
      </c>
      <c r="F10" s="294">
        <f>'Final BS'!D18</f>
        <v>0</v>
      </c>
      <c r="G10" s="294">
        <f>'BS WS'!$G$20</f>
        <v>0</v>
      </c>
      <c r="H10" s="215" t="e">
        <f t="shared" si="0"/>
        <v>#DIV/0!</v>
      </c>
    </row>
    <row r="11" spans="1:8" ht="30" x14ac:dyDescent="0.35">
      <c r="A11" s="210">
        <v>7</v>
      </c>
      <c r="B11" s="211" t="s">
        <v>233</v>
      </c>
      <c r="C11" s="212" t="s">
        <v>475</v>
      </c>
      <c r="D11" s="213" t="s">
        <v>234</v>
      </c>
      <c r="E11" s="216" t="s">
        <v>235</v>
      </c>
      <c r="F11" s="294">
        <f>'Final BS'!D19</f>
        <v>0</v>
      </c>
      <c r="G11" s="294">
        <f>'BS WS'!$G$20</f>
        <v>0</v>
      </c>
      <c r="H11" s="215" t="e">
        <f t="shared" si="0"/>
        <v>#DIV/0!</v>
      </c>
    </row>
    <row r="12" spans="1:8" ht="30" x14ac:dyDescent="0.35">
      <c r="A12" s="210">
        <v>8</v>
      </c>
      <c r="B12" s="211" t="s">
        <v>236</v>
      </c>
      <c r="C12" s="212" t="s">
        <v>476</v>
      </c>
      <c r="D12" s="213" t="s">
        <v>237</v>
      </c>
      <c r="E12" s="216" t="s">
        <v>229</v>
      </c>
      <c r="F12" s="294">
        <f>'Final BS'!D9</f>
        <v>0</v>
      </c>
      <c r="G12" s="294">
        <f>'BS WS'!$G$20</f>
        <v>0</v>
      </c>
      <c r="H12" s="215" t="e">
        <f t="shared" si="0"/>
        <v>#DIV/0!</v>
      </c>
    </row>
    <row r="13" spans="1:8" ht="30" x14ac:dyDescent="0.35">
      <c r="A13" s="210">
        <v>9</v>
      </c>
      <c r="B13" s="211" t="s">
        <v>238</v>
      </c>
      <c r="C13" s="212" t="s">
        <v>478</v>
      </c>
      <c r="D13" s="213" t="s">
        <v>239</v>
      </c>
      <c r="E13" s="216" t="s">
        <v>240</v>
      </c>
      <c r="F13" s="294">
        <f>'Final BS'!D10</f>
        <v>0</v>
      </c>
      <c r="G13" s="294">
        <f>'BS WS'!$G$20</f>
        <v>0</v>
      </c>
      <c r="H13" s="215" t="e">
        <f t="shared" si="0"/>
        <v>#DIV/0!</v>
      </c>
    </row>
    <row r="14" spans="1:8" ht="30" x14ac:dyDescent="0.35">
      <c r="A14" s="210">
        <v>10</v>
      </c>
      <c r="B14" s="211" t="s">
        <v>241</v>
      </c>
      <c r="C14" s="212" t="s">
        <v>479</v>
      </c>
      <c r="D14" s="213" t="s">
        <v>242</v>
      </c>
      <c r="E14" s="216" t="s">
        <v>243</v>
      </c>
      <c r="F14" s="294">
        <f>'Final BS'!D7</f>
        <v>0</v>
      </c>
      <c r="G14" s="294">
        <f>'BS WS'!$G$20</f>
        <v>0</v>
      </c>
      <c r="H14" s="215" t="e">
        <f t="shared" si="0"/>
        <v>#DIV/0!</v>
      </c>
    </row>
    <row r="15" spans="1:8" ht="30" x14ac:dyDescent="0.35">
      <c r="A15" s="210">
        <v>11</v>
      </c>
      <c r="B15" s="218" t="s">
        <v>244</v>
      </c>
      <c r="C15" s="212" t="s">
        <v>480</v>
      </c>
      <c r="D15" s="213" t="s">
        <v>245</v>
      </c>
      <c r="E15" s="216" t="s">
        <v>246</v>
      </c>
      <c r="F15" s="294">
        <f>'BS WS'!G8</f>
        <v>-334000</v>
      </c>
      <c r="G15" s="294">
        <f>'BS WS'!$G$20</f>
        <v>0</v>
      </c>
      <c r="H15" s="215" t="e">
        <f t="shared" si="0"/>
        <v>#DIV/0!</v>
      </c>
    </row>
    <row r="16" spans="1:8" ht="30" x14ac:dyDescent="0.35">
      <c r="A16" s="210">
        <v>12</v>
      </c>
      <c r="B16" s="211" t="s">
        <v>247</v>
      </c>
      <c r="C16" s="212" t="s">
        <v>481</v>
      </c>
      <c r="D16" s="213" t="s">
        <v>248</v>
      </c>
      <c r="E16" s="216" t="s">
        <v>249</v>
      </c>
      <c r="F16" s="294">
        <f>'BS WS'!G8+'BS WS'!G14-'Loan Aging WS'!M6</f>
        <v>-334000</v>
      </c>
      <c r="G16" s="294">
        <f>'BS WS'!$G$20</f>
        <v>0</v>
      </c>
      <c r="H16" s="215" t="e">
        <f t="shared" si="0"/>
        <v>#DIV/0!</v>
      </c>
    </row>
    <row r="17" spans="1:8" ht="38.1" customHeight="1" x14ac:dyDescent="0.35">
      <c r="A17" s="210">
        <v>13</v>
      </c>
      <c r="B17" s="211" t="s">
        <v>250</v>
      </c>
      <c r="C17" s="212" t="s">
        <v>482</v>
      </c>
      <c r="D17" s="213" t="s">
        <v>251</v>
      </c>
      <c r="E17" s="219" t="s">
        <v>252</v>
      </c>
      <c r="F17" s="295">
        <f>'Loan Aging WS'!H6+'Loan Aging WS'!J6+'Loan Aging WS'!L6</f>
        <v>0</v>
      </c>
      <c r="G17" s="296">
        <f>'Final BS'!D20</f>
        <v>0</v>
      </c>
      <c r="H17" s="215" t="e">
        <f t="shared" si="0"/>
        <v>#DIV/0!</v>
      </c>
    </row>
    <row r="18" spans="1:8" ht="30" x14ac:dyDescent="0.35">
      <c r="A18" s="210">
        <v>14</v>
      </c>
      <c r="B18" s="211" t="s">
        <v>253</v>
      </c>
      <c r="C18" s="212" t="s">
        <v>483</v>
      </c>
      <c r="D18" s="213" t="s">
        <v>254</v>
      </c>
      <c r="E18" s="216" t="s">
        <v>255</v>
      </c>
      <c r="F18" s="294">
        <f>'Final BS'!D17+'Final BS'!D21+'Final BS'!D22+'Final BS'!D23</f>
        <v>0</v>
      </c>
      <c r="G18" s="294">
        <f>'Final BS'!D24</f>
        <v>0</v>
      </c>
      <c r="H18" s="215" t="e">
        <f t="shared" si="0"/>
        <v>#DIV/0!</v>
      </c>
    </row>
    <row r="19" spans="1:8" ht="47.25" x14ac:dyDescent="0.35">
      <c r="A19" s="210">
        <v>15</v>
      </c>
      <c r="B19" s="211" t="s">
        <v>256</v>
      </c>
      <c r="C19" s="212" t="s">
        <v>484</v>
      </c>
      <c r="D19" s="213" t="s">
        <v>257</v>
      </c>
      <c r="E19" s="219" t="s">
        <v>258</v>
      </c>
      <c r="F19" s="296">
        <f>'Final PEARLS'!F16</f>
        <v>-334000</v>
      </c>
      <c r="G19" s="296">
        <f>F18</f>
        <v>0</v>
      </c>
      <c r="H19" s="215" t="e">
        <f t="shared" si="0"/>
        <v>#DIV/0!</v>
      </c>
    </row>
    <row r="20" spans="1:8" ht="39" x14ac:dyDescent="0.35">
      <c r="A20" s="210">
        <v>16</v>
      </c>
      <c r="B20" s="211" t="s">
        <v>259</v>
      </c>
      <c r="C20" s="212" t="s">
        <v>486</v>
      </c>
      <c r="D20" s="213" t="s">
        <v>260</v>
      </c>
      <c r="E20" s="219" t="s">
        <v>261</v>
      </c>
      <c r="F20" s="292">
        <f>'Income Summary'!C5</f>
        <v>0</v>
      </c>
      <c r="G20" s="294">
        <f>('Final BS'!C20+G9)/2</f>
        <v>0</v>
      </c>
      <c r="H20" s="215" t="e">
        <f t="shared" si="0"/>
        <v>#DIV/0!</v>
      </c>
    </row>
    <row r="21" spans="1:8" ht="37.5" x14ac:dyDescent="0.35">
      <c r="A21" s="210">
        <v>17</v>
      </c>
      <c r="B21" s="211" t="s">
        <v>262</v>
      </c>
      <c r="C21" s="212" t="s">
        <v>485</v>
      </c>
      <c r="D21" s="213" t="s">
        <v>263</v>
      </c>
      <c r="E21" s="216" t="s">
        <v>264</v>
      </c>
      <c r="F21" s="297">
        <f>'160.4'!F5</f>
        <v>0</v>
      </c>
      <c r="G21" s="294">
        <f>('Final BS'!C18+'Final BS'!D18)/2</f>
        <v>0</v>
      </c>
      <c r="H21" s="215" t="e">
        <f t="shared" si="0"/>
        <v>#DIV/0!</v>
      </c>
    </row>
    <row r="22" spans="1:8" ht="37.5" x14ac:dyDescent="0.35">
      <c r="A22" s="210">
        <v>18</v>
      </c>
      <c r="B22" s="211" t="s">
        <v>265</v>
      </c>
      <c r="C22" s="220" t="s">
        <v>487</v>
      </c>
      <c r="D22" s="213" t="s">
        <v>266</v>
      </c>
      <c r="E22" s="216" t="s">
        <v>264</v>
      </c>
      <c r="F22" s="292">
        <f>'Income Summary'!C3</f>
        <v>0</v>
      </c>
      <c r="G22" s="294">
        <f>('Final BS'!C19+'Final BS'!D19)/2</f>
        <v>0</v>
      </c>
      <c r="H22" s="215" t="e">
        <f t="shared" si="0"/>
        <v>#DIV/0!</v>
      </c>
    </row>
    <row r="23" spans="1:8" ht="39" x14ac:dyDescent="0.35">
      <c r="A23" s="210">
        <v>19</v>
      </c>
      <c r="B23" s="211" t="s">
        <v>267</v>
      </c>
      <c r="C23" s="220" t="s">
        <v>488</v>
      </c>
      <c r="D23" s="213" t="s">
        <v>268</v>
      </c>
      <c r="E23" s="216" t="s">
        <v>264</v>
      </c>
      <c r="F23" s="297">
        <f>'150.3.2.1'!F7</f>
        <v>0</v>
      </c>
      <c r="G23" s="294">
        <f>('Final BS'!C9+'Final BS'!D9)/2</f>
        <v>0</v>
      </c>
      <c r="H23" s="215" t="e">
        <f t="shared" si="0"/>
        <v>#DIV/0!</v>
      </c>
    </row>
    <row r="24" spans="1:8" ht="39" x14ac:dyDescent="0.35">
      <c r="A24" s="210">
        <v>20</v>
      </c>
      <c r="B24" s="211" t="s">
        <v>269</v>
      </c>
      <c r="C24" s="220" t="s">
        <v>489</v>
      </c>
      <c r="D24" s="213" t="s">
        <v>270</v>
      </c>
      <c r="E24" s="216" t="s">
        <v>264</v>
      </c>
      <c r="F24" s="297">
        <f>'150.3.2.2'!D4</f>
        <v>0</v>
      </c>
      <c r="G24" s="294">
        <f>('Final BS'!C10+'Final BS'!D10)/2</f>
        <v>0</v>
      </c>
      <c r="H24" s="215" t="e">
        <f t="shared" si="0"/>
        <v>#DIV/0!</v>
      </c>
    </row>
    <row r="25" spans="1:8" ht="39" x14ac:dyDescent="0.35">
      <c r="A25" s="210">
        <v>21</v>
      </c>
      <c r="B25" s="211" t="s">
        <v>271</v>
      </c>
      <c r="C25" s="220" t="s">
        <v>490</v>
      </c>
      <c r="D25" s="213" t="s">
        <v>272</v>
      </c>
      <c r="E25" s="219" t="s">
        <v>273</v>
      </c>
      <c r="F25" s="296">
        <f>'PL Appropiation'!D10</f>
        <v>0</v>
      </c>
      <c r="G25" s="296">
        <f>('Final BS'!C7+'Final BS'!D7)/2</f>
        <v>0</v>
      </c>
      <c r="H25" s="215" t="e">
        <f t="shared" si="0"/>
        <v>#DIV/0!</v>
      </c>
    </row>
    <row r="26" spans="1:8" ht="30" x14ac:dyDescent="0.35">
      <c r="A26" s="210">
        <v>22</v>
      </c>
      <c r="B26" s="211" t="s">
        <v>274</v>
      </c>
      <c r="C26" s="220" t="s">
        <v>491</v>
      </c>
      <c r="D26" s="213" t="s">
        <v>275</v>
      </c>
      <c r="E26" s="214">
        <v>0.05</v>
      </c>
      <c r="F26" s="297">
        <f>'Exp Summary'!C38-('Exp Summary'!C37+'Exp Summary'!C36+'Exp Summary'!C35)</f>
        <v>1502400</v>
      </c>
      <c r="G26" s="294">
        <f>('Final BS'!C15+'Final BS'!D15)/2</f>
        <v>0</v>
      </c>
      <c r="H26" s="215">
        <f>N22</f>
        <v>0</v>
      </c>
    </row>
    <row r="27" spans="1:8" ht="30.75" x14ac:dyDescent="0.35">
      <c r="A27" s="210"/>
      <c r="B27" s="331" t="s">
        <v>534</v>
      </c>
      <c r="C27" s="220" t="s">
        <v>537</v>
      </c>
      <c r="D27" s="332" t="s">
        <v>535</v>
      </c>
      <c r="E27" s="333" t="s">
        <v>536</v>
      </c>
      <c r="F27" s="292">
        <f>'Final PL'!C24</f>
        <v>-1200000</v>
      </c>
      <c r="G27" s="294">
        <f>('Final BS'!C15+'Final BS'!D15)/2</f>
        <v>0</v>
      </c>
      <c r="H27" s="215" t="e">
        <f t="shared" si="0"/>
        <v>#DIV/0!</v>
      </c>
    </row>
    <row r="28" spans="1:8" ht="45" x14ac:dyDescent="0.35">
      <c r="A28" s="210">
        <v>23</v>
      </c>
      <c r="B28" s="211" t="s">
        <v>277</v>
      </c>
      <c r="C28" s="220" t="s">
        <v>492</v>
      </c>
      <c r="D28" s="213" t="s">
        <v>278</v>
      </c>
      <c r="E28" s="216" t="s">
        <v>279</v>
      </c>
      <c r="F28" s="294">
        <f>'Final BS'!D17+'Final BS'!D18-'Final BS'!D12-'Final BS'!D13</f>
        <v>300000</v>
      </c>
      <c r="G28" s="294">
        <f>'Final BS'!D9</f>
        <v>0</v>
      </c>
      <c r="H28" s="215" t="e">
        <f t="shared" si="0"/>
        <v>#DIV/0!</v>
      </c>
    </row>
    <row r="29" spans="1:8" ht="39" x14ac:dyDescent="0.35">
      <c r="A29" s="210">
        <v>24</v>
      </c>
      <c r="B29" s="211" t="s">
        <v>280</v>
      </c>
      <c r="C29" s="220" t="s">
        <v>493</v>
      </c>
      <c r="D29" s="213" t="s">
        <v>281</v>
      </c>
      <c r="E29" s="216" t="s">
        <v>282</v>
      </c>
      <c r="F29" s="294">
        <f>'Final BS'!D17</f>
        <v>0</v>
      </c>
      <c r="G29" s="294">
        <f>'Final BS'!D15</f>
        <v>0</v>
      </c>
      <c r="H29" s="215" t="e">
        <f t="shared" si="0"/>
        <v>#DIV/0!</v>
      </c>
    </row>
    <row r="30" spans="1:8" ht="30" x14ac:dyDescent="0.35">
      <c r="A30" s="210">
        <v>25</v>
      </c>
      <c r="B30" s="211" t="s">
        <v>283</v>
      </c>
      <c r="C30" s="220" t="s">
        <v>494</v>
      </c>
      <c r="D30" s="213" t="s">
        <v>284</v>
      </c>
      <c r="E30" s="216" t="s">
        <v>285</v>
      </c>
      <c r="F30" s="297">
        <f>'Member Projection sheet '!F4</f>
        <v>241</v>
      </c>
      <c r="G30" s="297">
        <f>'Member Projection sheet '!D3</f>
        <v>3015</v>
      </c>
      <c r="H30" s="215">
        <f t="shared" si="0"/>
        <v>7.9933665008291868E-2</v>
      </c>
    </row>
    <row r="31" spans="1:8" ht="30.75" thickBot="1" x14ac:dyDescent="0.4">
      <c r="A31" s="210">
        <v>26</v>
      </c>
      <c r="B31" s="221" t="s">
        <v>286</v>
      </c>
      <c r="C31" s="220" t="s">
        <v>495</v>
      </c>
      <c r="D31" s="222" t="s">
        <v>287</v>
      </c>
      <c r="E31" s="223" t="s">
        <v>276</v>
      </c>
      <c r="F31" s="298">
        <f>'Final BS'!D15-'Final BS'!C15</f>
        <v>0</v>
      </c>
      <c r="G31" s="298">
        <f>'Final BS'!C15</f>
        <v>0</v>
      </c>
      <c r="H31" s="215" t="e">
        <f t="shared" si="0"/>
        <v>#DIV/0!</v>
      </c>
    </row>
    <row r="32" spans="1:8" x14ac:dyDescent="0.35">
      <c r="B32" s="117"/>
      <c r="C32" s="117"/>
      <c r="E32" s="118"/>
      <c r="F32" s="119"/>
      <c r="G32" s="119"/>
      <c r="H32" s="49"/>
    </row>
    <row r="33" spans="2:8" x14ac:dyDescent="0.35">
      <c r="B33" s="117"/>
      <c r="C33" s="117"/>
      <c r="E33" s="118"/>
      <c r="F33" s="119"/>
      <c r="G33" s="119"/>
      <c r="H33" s="49"/>
    </row>
    <row r="34" spans="2:8" x14ac:dyDescent="0.35">
      <c r="B34" s="117"/>
      <c r="C34" s="117"/>
      <c r="E34" s="118"/>
      <c r="F34" s="119"/>
      <c r="G34" s="119"/>
      <c r="H34" s="49"/>
    </row>
    <row r="35" spans="2:8" x14ac:dyDescent="0.35">
      <c r="B35" s="117"/>
      <c r="C35" s="117"/>
      <c r="E35" s="118"/>
      <c r="F35" s="119"/>
      <c r="G35" s="119"/>
      <c r="H35" s="49"/>
    </row>
    <row r="36" spans="2:8" x14ac:dyDescent="0.35">
      <c r="B36" s="117"/>
      <c r="C36" s="117"/>
      <c r="E36" s="118"/>
      <c r="F36" s="119"/>
      <c r="G36" s="119"/>
      <c r="H36" s="49"/>
    </row>
    <row r="37" spans="2:8" x14ac:dyDescent="0.35">
      <c r="E37" s="118"/>
      <c r="F37" s="119"/>
      <c r="G37" s="119"/>
      <c r="H37" s="49"/>
    </row>
    <row r="38" spans="2:8" x14ac:dyDescent="0.35">
      <c r="F38" s="49"/>
      <c r="G38" s="49"/>
      <c r="H38" s="49"/>
    </row>
    <row r="39" spans="2:8" x14ac:dyDescent="0.35">
      <c r="F39" s="49"/>
      <c r="G39" s="49"/>
      <c r="H39" s="49"/>
    </row>
    <row r="40" spans="2:8" x14ac:dyDescent="0.35">
      <c r="F40" s="49"/>
      <c r="G40" s="49"/>
      <c r="H40" s="49"/>
    </row>
  </sheetData>
  <sheetProtection formatCells="0" formatColumns="0" formatRows="0" insertColumns="0" insertRows="0" selectLockedCells="1"/>
  <mergeCells count="7">
    <mergeCell ref="A2:H2"/>
    <mergeCell ref="A1:H1"/>
    <mergeCell ref="F3:H3"/>
    <mergeCell ref="E3:E4"/>
    <mergeCell ref="C3:C4"/>
    <mergeCell ref="B3:B4"/>
    <mergeCell ref="A3:A4"/>
  </mergeCells>
  <hyperlinks>
    <hyperlink ref="C5" r:id="rId1" display="!@ dlxgf eGbf a9L efvf gf3]sf] C0fsf] nflu sf]ifsf] Aoj:yf"/>
  </hyperlinks>
  <pageMargins left="0.7" right="0.7" top="0.75" bottom="0.75" header="0.3" footer="0.3"/>
  <pageSetup orientation="portrait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A36"/>
  <sheetViews>
    <sheetView workbookViewId="0">
      <selection activeCell="D9" sqref="D9"/>
    </sheetView>
  </sheetViews>
  <sheetFormatPr defaultColWidth="8.7109375" defaultRowHeight="15" x14ac:dyDescent="0.25"/>
  <cols>
    <col min="1" max="1" width="15.42578125" style="2" bestFit="1" customWidth="1"/>
    <col min="2" max="2" width="37" style="2" bestFit="1" customWidth="1"/>
    <col min="3" max="3" width="11.7109375" style="2" bestFit="1" customWidth="1"/>
    <col min="4" max="4" width="11.85546875" style="2" bestFit="1" customWidth="1"/>
    <col min="5" max="5" width="14.85546875" style="2" bestFit="1" customWidth="1"/>
    <col min="6" max="6" width="28.85546875" style="2" bestFit="1" customWidth="1"/>
    <col min="7" max="7" width="20.140625" style="2" bestFit="1" customWidth="1"/>
    <col min="8" max="8" width="10.85546875" style="2" bestFit="1" customWidth="1"/>
    <col min="9" max="9" width="12.28515625" style="2" bestFit="1" customWidth="1"/>
    <col min="10" max="10" width="6.85546875" style="2" bestFit="1" customWidth="1"/>
    <col min="11" max="11" width="10.85546875" style="2" bestFit="1" customWidth="1"/>
    <col min="12" max="12" width="12.28515625" style="2" bestFit="1" customWidth="1"/>
    <col min="13" max="13" width="9.7109375" style="2" bestFit="1" customWidth="1"/>
    <col min="14" max="14" width="10.85546875" style="2" bestFit="1" customWidth="1"/>
    <col min="15" max="15" width="12.28515625" style="2" bestFit="1" customWidth="1"/>
    <col min="16" max="16" width="4.5703125" style="2" customWidth="1"/>
    <col min="17" max="17" width="5.7109375" style="2" bestFit="1" customWidth="1"/>
    <col min="18" max="18" width="6.42578125" style="2" bestFit="1" customWidth="1"/>
    <col min="19" max="19" width="9.7109375" style="2" bestFit="1" customWidth="1"/>
    <col min="20" max="21" width="10.140625" style="2" bestFit="1" customWidth="1"/>
    <col min="22" max="23" width="5.7109375" style="2" bestFit="1" customWidth="1"/>
    <col min="24" max="24" width="5" style="2" bestFit="1" customWidth="1"/>
    <col min="25" max="25" width="9.7109375" style="2" bestFit="1" customWidth="1"/>
    <col min="26" max="27" width="10.140625" style="2" bestFit="1" customWidth="1"/>
    <col min="28" max="28" width="5.7109375" style="2" bestFit="1" customWidth="1"/>
    <col min="29" max="16384" width="8.7109375" style="2"/>
  </cols>
  <sheetData>
    <row r="1" spans="1:27" s="225" customFormat="1" ht="18.75" customHeight="1" thickBot="1" x14ac:dyDescent="0.35">
      <c r="A1" s="440" t="s">
        <v>496</v>
      </c>
      <c r="B1" s="441"/>
      <c r="C1" s="446" t="s">
        <v>497</v>
      </c>
      <c r="D1" s="448" t="str">
        <f>Home!C4</f>
        <v>आ.व. २०८२/०८३</v>
      </c>
      <c r="E1" s="448"/>
      <c r="F1" s="448"/>
      <c r="G1" s="448"/>
      <c r="H1" s="448"/>
      <c r="I1" s="448"/>
    </row>
    <row r="2" spans="1:27" s="225" customFormat="1" ht="18.75" customHeight="1" thickBot="1" x14ac:dyDescent="0.35">
      <c r="A2" s="442"/>
      <c r="B2" s="443"/>
      <c r="C2" s="447"/>
      <c r="D2" s="245" t="s">
        <v>498</v>
      </c>
      <c r="E2" s="245" t="s">
        <v>499</v>
      </c>
      <c r="F2" s="245" t="s">
        <v>500</v>
      </c>
      <c r="G2" s="245" t="s">
        <v>501</v>
      </c>
      <c r="H2" s="245" t="s">
        <v>502</v>
      </c>
      <c r="I2" s="245" t="s">
        <v>394</v>
      </c>
    </row>
    <row r="3" spans="1:27" ht="18.600000000000001" customHeight="1" thickBot="1" x14ac:dyDescent="0.4">
      <c r="A3" s="458" t="s">
        <v>562</v>
      </c>
      <c r="B3" s="458"/>
      <c r="C3" s="8"/>
      <c r="D3" s="8"/>
      <c r="E3" s="9"/>
      <c r="F3" s="302">
        <f>E3/30</f>
        <v>0</v>
      </c>
      <c r="G3" s="9">
        <v>0</v>
      </c>
      <c r="H3" s="299">
        <f>F3*G3</f>
        <v>0</v>
      </c>
      <c r="I3" s="299">
        <f t="shared" ref="I3:I9" si="0">E3*D3+H3</f>
        <v>0</v>
      </c>
    </row>
    <row r="4" spans="1:27" ht="18.600000000000001" customHeight="1" thickBot="1" x14ac:dyDescent="0.4">
      <c r="A4" s="458" t="s">
        <v>563</v>
      </c>
      <c r="B4" s="458"/>
      <c r="C4" s="8"/>
      <c r="D4" s="8"/>
      <c r="E4" s="9"/>
      <c r="F4" s="302">
        <f t="shared" ref="F4:F5" si="1">E4/30</f>
        <v>0</v>
      </c>
      <c r="G4" s="9">
        <v>0</v>
      </c>
      <c r="H4" s="299">
        <f t="shared" ref="H4:H9" si="2">F4*G4</f>
        <v>0</v>
      </c>
      <c r="I4" s="299">
        <f t="shared" si="0"/>
        <v>0</v>
      </c>
    </row>
    <row r="5" spans="1:27" ht="18.600000000000001" customHeight="1" thickBot="1" x14ac:dyDescent="0.4">
      <c r="A5" s="458" t="s">
        <v>564</v>
      </c>
      <c r="B5" s="458"/>
      <c r="C5" s="8"/>
      <c r="D5" s="8"/>
      <c r="E5" s="9"/>
      <c r="F5" s="302">
        <f t="shared" si="1"/>
        <v>0</v>
      </c>
      <c r="G5" s="9">
        <v>0</v>
      </c>
      <c r="H5" s="299">
        <f t="shared" si="2"/>
        <v>0</v>
      </c>
      <c r="I5" s="299">
        <f t="shared" si="0"/>
        <v>0</v>
      </c>
    </row>
    <row r="6" spans="1:27" ht="18.600000000000001" customHeight="1" thickBot="1" x14ac:dyDescent="0.4">
      <c r="A6" s="458" t="s">
        <v>565</v>
      </c>
      <c r="B6" s="458"/>
      <c r="C6" s="8"/>
      <c r="D6" s="8"/>
      <c r="E6" s="9"/>
      <c r="F6" s="302">
        <f>E6/30</f>
        <v>0</v>
      </c>
      <c r="G6" s="9">
        <v>0</v>
      </c>
      <c r="H6" s="299">
        <f t="shared" si="2"/>
        <v>0</v>
      </c>
      <c r="I6" s="299">
        <f t="shared" si="0"/>
        <v>0</v>
      </c>
    </row>
    <row r="7" spans="1:27" ht="18.600000000000001" customHeight="1" thickBot="1" x14ac:dyDescent="0.4">
      <c r="A7" s="458" t="s">
        <v>567</v>
      </c>
      <c r="B7" s="458"/>
      <c r="C7" s="8"/>
      <c r="D7" s="8"/>
      <c r="E7" s="9"/>
      <c r="F7" s="302">
        <f t="shared" ref="F7:F9" si="3">E7/30</f>
        <v>0</v>
      </c>
      <c r="G7" s="9">
        <v>0</v>
      </c>
      <c r="H7" s="299">
        <f t="shared" si="2"/>
        <v>0</v>
      </c>
      <c r="I7" s="299">
        <f t="shared" si="0"/>
        <v>0</v>
      </c>
    </row>
    <row r="8" spans="1:27" ht="18.600000000000001" customHeight="1" thickBot="1" x14ac:dyDescent="0.4">
      <c r="A8" s="458" t="s">
        <v>503</v>
      </c>
      <c r="B8" s="458"/>
      <c r="C8" s="8"/>
      <c r="D8" s="8"/>
      <c r="E8" s="9"/>
      <c r="F8" s="302">
        <f t="shared" si="3"/>
        <v>0</v>
      </c>
      <c r="G8" s="9">
        <v>0</v>
      </c>
      <c r="H8" s="299">
        <f t="shared" si="2"/>
        <v>0</v>
      </c>
      <c r="I8" s="299">
        <f t="shared" si="0"/>
        <v>0</v>
      </c>
    </row>
    <row r="9" spans="1:27" ht="18.600000000000001" customHeight="1" thickBot="1" x14ac:dyDescent="0.4">
      <c r="A9" s="458" t="s">
        <v>504</v>
      </c>
      <c r="B9" s="458"/>
      <c r="C9" s="8" t="s">
        <v>41</v>
      </c>
      <c r="D9" s="8"/>
      <c r="E9" s="9"/>
      <c r="F9" s="302">
        <f t="shared" si="3"/>
        <v>0</v>
      </c>
      <c r="G9" s="9">
        <v>0</v>
      </c>
      <c r="H9" s="299">
        <f t="shared" si="2"/>
        <v>0</v>
      </c>
      <c r="I9" s="299">
        <f t="shared" si="0"/>
        <v>0</v>
      </c>
    </row>
    <row r="10" spans="1:27" ht="21.75" thickBot="1" x14ac:dyDescent="0.3">
      <c r="A10" s="454" t="s">
        <v>394</v>
      </c>
      <c r="B10" s="454"/>
      <c r="C10" s="454"/>
      <c r="D10" s="301">
        <f>SUM(D3:D9)</f>
        <v>0</v>
      </c>
      <c r="E10" s="25"/>
      <c r="F10" s="303">
        <f>SUM(F3:F9)</f>
        <v>0</v>
      </c>
      <c r="G10" s="25"/>
      <c r="H10" s="300">
        <f>SUM(H3:H9)</f>
        <v>0</v>
      </c>
      <c r="I10" s="300">
        <f>SUM(I3:I9)</f>
        <v>0</v>
      </c>
    </row>
    <row r="11" spans="1:27" ht="19.5" thickBot="1" x14ac:dyDescent="0.3">
      <c r="B11" s="10"/>
      <c r="C11" s="10"/>
      <c r="D11" s="10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0"/>
      <c r="U11" s="10"/>
      <c r="V11" s="10"/>
      <c r="W11" s="10"/>
      <c r="X11" s="10"/>
      <c r="Y11" s="10"/>
      <c r="Z11" s="10"/>
      <c r="AA11" s="10"/>
    </row>
    <row r="12" spans="1:27" s="227" customFormat="1" ht="27" thickBot="1" x14ac:dyDescent="0.5">
      <c r="A12" s="459" t="s">
        <v>195</v>
      </c>
      <c r="B12" s="459"/>
      <c r="C12" s="452" t="s">
        <v>505</v>
      </c>
      <c r="D12" s="452"/>
      <c r="E12" s="452"/>
      <c r="F12" s="452"/>
      <c r="G12" s="452"/>
      <c r="H12" s="452"/>
      <c r="I12" s="452"/>
      <c r="J12" s="452"/>
      <c r="K12" s="452"/>
      <c r="L12" s="452"/>
      <c r="M12" s="452"/>
      <c r="N12" s="452"/>
      <c r="O12" s="452"/>
      <c r="P12" s="226"/>
      <c r="Q12" s="226"/>
      <c r="R12" s="226"/>
      <c r="S12" s="226"/>
      <c r="T12" s="226"/>
      <c r="U12" s="226"/>
      <c r="V12" s="226"/>
      <c r="W12" s="226"/>
      <c r="X12" s="226"/>
      <c r="Y12" s="226"/>
      <c r="Z12" s="226"/>
      <c r="AA12" s="226"/>
    </row>
    <row r="13" spans="1:27" s="194" customFormat="1" ht="18.600000000000001" customHeight="1" thickBot="1" x14ac:dyDescent="0.35">
      <c r="A13" s="459"/>
      <c r="B13" s="459"/>
      <c r="C13" s="228" t="s">
        <v>497</v>
      </c>
      <c r="D13" s="453" t="str">
        <f>D1</f>
        <v>आ.व. २०८२/०८३</v>
      </c>
      <c r="E13" s="453"/>
      <c r="F13" s="453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</row>
    <row r="14" spans="1:27" s="194" customFormat="1" ht="18.600000000000001" customHeight="1" thickBot="1" x14ac:dyDescent="0.35">
      <c r="A14" s="459"/>
      <c r="B14" s="459"/>
      <c r="C14" s="228"/>
      <c r="D14" s="224" t="s">
        <v>498</v>
      </c>
      <c r="E14" s="224" t="s">
        <v>506</v>
      </c>
      <c r="F14" s="224" t="s">
        <v>394</v>
      </c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</row>
    <row r="15" spans="1:27" ht="18.600000000000001" customHeight="1" thickBot="1" x14ac:dyDescent="0.4">
      <c r="A15" s="455" t="str">
        <f t="shared" ref="A15:A21" si="4">A3</f>
        <v>व्यवस्थापक</v>
      </c>
      <c r="B15" s="455"/>
      <c r="C15" s="8"/>
      <c r="D15" s="305">
        <f>D3</f>
        <v>0</v>
      </c>
      <c r="E15" s="9"/>
      <c r="F15" s="304">
        <f>D15*E15</f>
        <v>0</v>
      </c>
      <c r="G15" s="11"/>
      <c r="H15" s="11"/>
      <c r="I15" s="11"/>
      <c r="J15" s="10"/>
      <c r="K15" s="10"/>
      <c r="L15" s="10"/>
      <c r="M15" s="10"/>
      <c r="N15" s="10"/>
      <c r="O15" s="10"/>
      <c r="P15" s="10"/>
      <c r="Q15" s="10"/>
      <c r="R15" s="10"/>
    </row>
    <row r="16" spans="1:27" ht="18.600000000000001" customHeight="1" thickBot="1" x14ac:dyDescent="0.4">
      <c r="A16" s="455" t="str">
        <f t="shared" si="4"/>
        <v>बजार प्रमुख</v>
      </c>
      <c r="B16" s="455"/>
      <c r="C16" s="8"/>
      <c r="D16" s="305">
        <f t="shared" ref="D16:D21" si="5">D4</f>
        <v>0</v>
      </c>
      <c r="E16" s="9"/>
      <c r="F16" s="304">
        <f t="shared" ref="F16:F21" si="6">D16*E16</f>
        <v>0</v>
      </c>
      <c r="G16" s="11"/>
      <c r="H16" s="11"/>
      <c r="I16" s="11"/>
      <c r="J16" s="10"/>
      <c r="K16" s="10"/>
      <c r="L16" s="10"/>
      <c r="M16" s="10"/>
      <c r="N16" s="10"/>
      <c r="O16" s="10"/>
      <c r="P16" s="10"/>
      <c r="Q16" s="10"/>
      <c r="R16" s="10"/>
    </row>
    <row r="17" spans="1:18" ht="18.600000000000001" customHeight="1" thickBot="1" x14ac:dyDescent="0.4">
      <c r="A17" s="455" t="str">
        <f t="shared" si="4"/>
        <v>लेखा सहायक</v>
      </c>
      <c r="B17" s="455"/>
      <c r="C17" s="8"/>
      <c r="D17" s="305">
        <f t="shared" si="5"/>
        <v>0</v>
      </c>
      <c r="E17" s="9"/>
      <c r="F17" s="304">
        <f t="shared" si="6"/>
        <v>0</v>
      </c>
      <c r="G17" s="11"/>
      <c r="H17" s="11"/>
      <c r="I17" s="11"/>
      <c r="J17" s="10"/>
      <c r="K17" s="10"/>
      <c r="L17" s="10"/>
      <c r="M17" s="10"/>
      <c r="N17" s="10"/>
      <c r="O17" s="10"/>
      <c r="P17" s="10"/>
      <c r="Q17" s="10"/>
      <c r="R17" s="10"/>
    </row>
    <row r="18" spans="1:18" ht="18.600000000000001" customHeight="1" thickBot="1" x14ac:dyDescent="0.4">
      <c r="A18" s="455" t="str">
        <f t="shared" si="4"/>
        <v>सदस्यसेवा सहायक</v>
      </c>
      <c r="B18" s="455"/>
      <c r="C18" s="8"/>
      <c r="D18" s="305">
        <f t="shared" si="5"/>
        <v>0</v>
      </c>
      <c r="E18" s="9"/>
      <c r="F18" s="304">
        <f t="shared" si="6"/>
        <v>0</v>
      </c>
      <c r="G18" s="11"/>
      <c r="H18" s="11"/>
      <c r="I18" s="11"/>
      <c r="J18" s="10"/>
      <c r="K18" s="10"/>
      <c r="L18" s="10"/>
      <c r="M18" s="10"/>
      <c r="N18" s="10"/>
      <c r="O18" s="10"/>
      <c r="P18" s="10"/>
      <c r="Q18" s="10"/>
      <c r="R18" s="10"/>
    </row>
    <row r="19" spans="1:18" ht="18.600000000000001" customHeight="1" thickBot="1" x14ac:dyDescent="0.4">
      <c r="A19" s="455" t="str">
        <f t="shared" si="4"/>
        <v>कार्यालय सहायक</v>
      </c>
      <c r="B19" s="455"/>
      <c r="C19" s="8"/>
      <c r="D19" s="305">
        <f t="shared" si="5"/>
        <v>0</v>
      </c>
      <c r="E19" s="9"/>
      <c r="F19" s="304">
        <f t="shared" si="6"/>
        <v>0</v>
      </c>
      <c r="G19" s="11"/>
      <c r="H19" s="11"/>
      <c r="I19" s="11"/>
      <c r="J19" s="10"/>
      <c r="K19" s="10"/>
      <c r="L19" s="10"/>
      <c r="M19" s="10"/>
      <c r="N19" s="10"/>
      <c r="O19" s="10"/>
      <c r="P19" s="10"/>
      <c r="Q19" s="10"/>
      <c r="R19" s="10"/>
    </row>
    <row r="20" spans="1:18" ht="18.600000000000001" customHeight="1" thickBot="1" x14ac:dyDescent="0.4">
      <c r="A20" s="455" t="str">
        <f t="shared" si="4"/>
        <v>सदस्य सेवा सहायक</v>
      </c>
      <c r="B20" s="455"/>
      <c r="C20" s="8"/>
      <c r="D20" s="305">
        <f t="shared" si="5"/>
        <v>0</v>
      </c>
      <c r="E20" s="9">
        <v>0</v>
      </c>
      <c r="F20" s="304">
        <f t="shared" si="6"/>
        <v>0</v>
      </c>
      <c r="G20" s="11"/>
      <c r="H20" s="11"/>
      <c r="I20" s="11"/>
      <c r="J20" s="10"/>
      <c r="K20" s="10"/>
      <c r="L20" s="10"/>
      <c r="M20" s="10"/>
      <c r="N20" s="10"/>
      <c r="O20" s="10"/>
      <c r="P20" s="10"/>
      <c r="Q20" s="10"/>
      <c r="R20" s="10"/>
    </row>
    <row r="21" spans="1:18" ht="18.600000000000001" customHeight="1" thickBot="1" x14ac:dyDescent="0.4">
      <c r="A21" s="455" t="str">
        <f t="shared" si="4"/>
        <v>सुरक्षा तथा कार्यालय सहयोगी</v>
      </c>
      <c r="B21" s="455"/>
      <c r="C21" s="8" t="s">
        <v>41</v>
      </c>
      <c r="D21" s="305">
        <f t="shared" si="5"/>
        <v>0</v>
      </c>
      <c r="E21" s="9">
        <v>0</v>
      </c>
      <c r="F21" s="304">
        <f t="shared" si="6"/>
        <v>0</v>
      </c>
      <c r="G21" s="11"/>
      <c r="H21" s="11"/>
      <c r="I21" s="11"/>
      <c r="J21" s="10"/>
      <c r="K21" s="10"/>
      <c r="L21" s="10"/>
      <c r="M21" s="10"/>
      <c r="N21" s="10"/>
      <c r="O21" s="10"/>
      <c r="P21" s="10"/>
      <c r="Q21" s="10"/>
      <c r="R21" s="10"/>
    </row>
    <row r="22" spans="1:18" ht="21.75" thickBot="1" x14ac:dyDescent="0.3">
      <c r="A22" s="454" t="s">
        <v>394</v>
      </c>
      <c r="B22" s="454"/>
      <c r="C22" s="454"/>
      <c r="D22" s="306">
        <f>SUM(D15:D21)</f>
        <v>0</v>
      </c>
      <c r="E22" s="25"/>
      <c r="F22" s="307">
        <f>SUM(F15:F21)</f>
        <v>0</v>
      </c>
      <c r="G22" s="11"/>
      <c r="H22" s="11"/>
      <c r="I22" s="11"/>
      <c r="J22" s="10"/>
      <c r="K22" s="10"/>
      <c r="L22" s="10"/>
      <c r="M22" s="10"/>
      <c r="N22" s="10"/>
      <c r="O22" s="10"/>
      <c r="P22" s="10"/>
      <c r="Q22" s="10"/>
      <c r="R22" s="10"/>
    </row>
    <row r="24" spans="1:18" ht="44.1" customHeight="1" x14ac:dyDescent="0.25">
      <c r="A24" s="460" t="s">
        <v>51</v>
      </c>
      <c r="B24" s="462" t="s">
        <v>342</v>
      </c>
      <c r="C24" s="444" t="str">
        <f>Home!A4</f>
        <v>हालको अवस्था</v>
      </c>
      <c r="D24" s="444" t="str">
        <f>Home!B4</f>
        <v>असार मसान्तको</v>
      </c>
      <c r="E24" s="449" t="str">
        <f>Home!C4</f>
        <v>आ.व. २०८२/०८३</v>
      </c>
      <c r="F24" s="450"/>
      <c r="G24" s="451"/>
    </row>
    <row r="25" spans="1:18" ht="22.5" x14ac:dyDescent="0.25">
      <c r="A25" s="461"/>
      <c r="B25" s="462"/>
      <c r="C25" s="445"/>
      <c r="D25" s="445"/>
      <c r="E25" s="337" t="s">
        <v>507</v>
      </c>
      <c r="F25" s="337" t="s">
        <v>557</v>
      </c>
      <c r="G25" s="337" t="s">
        <v>394</v>
      </c>
    </row>
    <row r="26" spans="1:18" ht="25.5" x14ac:dyDescent="0.5">
      <c r="A26" s="338" t="s">
        <v>550</v>
      </c>
      <c r="B26" s="12" t="s">
        <v>540</v>
      </c>
      <c r="C26" s="13"/>
      <c r="D26" s="13"/>
      <c r="E26" s="13">
        <v>13</v>
      </c>
      <c r="F26" s="308">
        <f>I10</f>
        <v>0</v>
      </c>
      <c r="G26" s="308">
        <f>E26*F26</f>
        <v>0</v>
      </c>
    </row>
    <row r="27" spans="1:18" ht="25.5" x14ac:dyDescent="0.5">
      <c r="A27" s="338" t="s">
        <v>551</v>
      </c>
      <c r="B27" s="12" t="s">
        <v>541</v>
      </c>
      <c r="C27" s="13"/>
      <c r="D27" s="13"/>
      <c r="E27" s="13"/>
      <c r="F27" s="308">
        <f>F22</f>
        <v>0</v>
      </c>
      <c r="G27" s="308">
        <f t="shared" ref="G27:G35" si="7">E27*F27</f>
        <v>0</v>
      </c>
    </row>
    <row r="28" spans="1:18" ht="24.75" x14ac:dyDescent="0.45">
      <c r="A28" s="463" t="s">
        <v>552</v>
      </c>
      <c r="B28" s="12" t="s">
        <v>542</v>
      </c>
      <c r="C28" s="13"/>
      <c r="D28" s="13"/>
      <c r="E28" s="308">
        <f>D10</f>
        <v>0</v>
      </c>
      <c r="F28" s="13"/>
      <c r="G28" s="308">
        <f t="shared" si="7"/>
        <v>0</v>
      </c>
    </row>
    <row r="29" spans="1:18" ht="24.75" x14ac:dyDescent="0.45">
      <c r="A29" s="464"/>
      <c r="B29" s="12" t="s">
        <v>543</v>
      </c>
      <c r="C29" s="13"/>
      <c r="D29" s="13"/>
      <c r="E29" s="308">
        <f>E28</f>
        <v>0</v>
      </c>
      <c r="F29" s="13"/>
      <c r="G29" s="120"/>
    </row>
    <row r="30" spans="1:18" ht="24.75" x14ac:dyDescent="0.45">
      <c r="A30" s="465"/>
      <c r="B30" s="12" t="s">
        <v>544</v>
      </c>
      <c r="C30" s="13"/>
      <c r="D30" s="13"/>
      <c r="E30" s="308">
        <f>E29</f>
        <v>0</v>
      </c>
      <c r="F30" s="13"/>
      <c r="G30" s="120"/>
    </row>
    <row r="31" spans="1:18" ht="24.75" x14ac:dyDescent="0.45">
      <c r="A31" s="463" t="s">
        <v>553</v>
      </c>
      <c r="B31" s="12" t="s">
        <v>545</v>
      </c>
      <c r="C31" s="13"/>
      <c r="D31" s="13"/>
      <c r="E31" s="13"/>
      <c r="F31" s="308">
        <f>F26*10%</f>
        <v>0</v>
      </c>
      <c r="G31" s="308">
        <f t="shared" si="7"/>
        <v>0</v>
      </c>
    </row>
    <row r="32" spans="1:18" ht="24.75" x14ac:dyDescent="0.45">
      <c r="A32" s="465"/>
      <c r="B32" s="12" t="s">
        <v>546</v>
      </c>
      <c r="C32" s="13"/>
      <c r="D32" s="13"/>
      <c r="E32" s="13"/>
      <c r="F32" s="308">
        <f>F26*20%</f>
        <v>0</v>
      </c>
      <c r="G32" s="308">
        <f t="shared" si="7"/>
        <v>0</v>
      </c>
    </row>
    <row r="33" spans="1:7" ht="25.5" x14ac:dyDescent="0.5">
      <c r="A33" s="338" t="s">
        <v>554</v>
      </c>
      <c r="B33" s="12" t="s">
        <v>547</v>
      </c>
      <c r="C33" s="13"/>
      <c r="D33" s="13"/>
      <c r="E33" s="308">
        <f>E30</f>
        <v>0</v>
      </c>
      <c r="F33" s="13"/>
      <c r="G33" s="308">
        <f t="shared" si="7"/>
        <v>0</v>
      </c>
    </row>
    <row r="34" spans="1:7" ht="25.5" x14ac:dyDescent="0.5">
      <c r="A34" s="338" t="s">
        <v>555</v>
      </c>
      <c r="B34" s="12" t="s">
        <v>548</v>
      </c>
      <c r="C34" s="13"/>
      <c r="D34" s="13"/>
      <c r="E34" s="308"/>
      <c r="F34" s="308">
        <f>F26</f>
        <v>0</v>
      </c>
      <c r="G34" s="308">
        <f t="shared" si="7"/>
        <v>0</v>
      </c>
    </row>
    <row r="35" spans="1:7" ht="26.25" thickBot="1" x14ac:dyDescent="0.55000000000000004">
      <c r="A35" s="338" t="s">
        <v>556</v>
      </c>
      <c r="B35" s="248" t="s">
        <v>549</v>
      </c>
      <c r="C35" s="13"/>
      <c r="D35" s="13"/>
      <c r="E35" s="13"/>
      <c r="F35" s="309">
        <f>IF(E32=0,I10*8.33%,"0")</f>
        <v>0</v>
      </c>
      <c r="G35" s="308">
        <f t="shared" si="7"/>
        <v>0</v>
      </c>
    </row>
    <row r="36" spans="1:7" ht="28.5" thickBot="1" x14ac:dyDescent="0.6">
      <c r="A36" s="456" t="s">
        <v>42</v>
      </c>
      <c r="B36" s="457"/>
      <c r="C36" s="310">
        <f>SUM(C26:C35)</f>
        <v>0</v>
      </c>
      <c r="D36" s="310">
        <f>SUM(D26:D35)</f>
        <v>0</v>
      </c>
      <c r="E36" s="14"/>
      <c r="F36" s="14"/>
      <c r="G36" s="311">
        <f>SUM(G26:G35)</f>
        <v>0</v>
      </c>
    </row>
  </sheetData>
  <sheetProtection algorithmName="SHA-512" hashValue="h4LiS7APTqEeVLTzDKCWqV/z0DNuAugm3s9+ZbLJ6rpxYZ7vZBsCIQkdtN1N0dYZE3UxNkcCSsKQiH4qIWG+wA==" saltValue="s0m3it57a1KE2Ps7sgwMHg==" spinCount="100000" sheet="1" formatCells="0" formatColumns="0" formatRows="0" insertColumns="0" insertRows="0" selectLockedCells="1"/>
  <mergeCells count="30">
    <mergeCell ref="A36:B36"/>
    <mergeCell ref="A3:B3"/>
    <mergeCell ref="A4:B4"/>
    <mergeCell ref="A5:B5"/>
    <mergeCell ref="A12:B14"/>
    <mergeCell ref="A24:A25"/>
    <mergeCell ref="B24:B25"/>
    <mergeCell ref="A28:A30"/>
    <mergeCell ref="A31:A32"/>
    <mergeCell ref="A6:B6"/>
    <mergeCell ref="A7:B7"/>
    <mergeCell ref="A8:B8"/>
    <mergeCell ref="A9:B9"/>
    <mergeCell ref="A10:C10"/>
    <mergeCell ref="A21:B21"/>
    <mergeCell ref="A1:B2"/>
    <mergeCell ref="D24:D25"/>
    <mergeCell ref="C24:C25"/>
    <mergeCell ref="C1:C2"/>
    <mergeCell ref="D1:I1"/>
    <mergeCell ref="E24:G24"/>
    <mergeCell ref="C12:O12"/>
    <mergeCell ref="D13:F13"/>
    <mergeCell ref="A22:C22"/>
    <mergeCell ref="A15:B15"/>
    <mergeCell ref="A16:B16"/>
    <mergeCell ref="A17:B17"/>
    <mergeCell ref="A18:B18"/>
    <mergeCell ref="A19:B19"/>
    <mergeCell ref="A20:B20"/>
  </mergeCells>
  <phoneticPr fontId="24" type="noConversion"/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G4" sqref="G4"/>
    </sheetView>
  </sheetViews>
  <sheetFormatPr defaultColWidth="8.7109375" defaultRowHeight="15" x14ac:dyDescent="0.25"/>
  <cols>
    <col min="1" max="1" width="15.85546875" style="2" customWidth="1"/>
    <col min="2" max="2" width="12" style="2" customWidth="1"/>
    <col min="3" max="3" width="11" style="2" customWidth="1"/>
    <col min="4" max="4" width="8.7109375" style="2"/>
    <col min="5" max="5" width="10.85546875" style="2" bestFit="1" customWidth="1"/>
    <col min="6" max="6" width="18" style="2" customWidth="1"/>
    <col min="7" max="16384" width="8.7109375" style="2"/>
  </cols>
  <sheetData>
    <row r="1" spans="1:6" s="194" customFormat="1" ht="20.45" customHeight="1" x14ac:dyDescent="0.3">
      <c r="A1" s="466" t="s">
        <v>342</v>
      </c>
      <c r="B1" s="468" t="str">
        <f>Home!A4</f>
        <v>हालको अवस्था</v>
      </c>
      <c r="C1" s="468" t="str">
        <f>Home!B4</f>
        <v>असार मसान्तको</v>
      </c>
      <c r="D1" s="467" t="str">
        <f>Home!C4</f>
        <v>आ.व. २०८२/०८३</v>
      </c>
      <c r="E1" s="467"/>
      <c r="F1" s="467"/>
    </row>
    <row r="2" spans="1:6" s="194" customFormat="1" ht="21" x14ac:dyDescent="0.3">
      <c r="A2" s="466"/>
      <c r="B2" s="469"/>
      <c r="C2" s="469"/>
      <c r="D2" s="246" t="s">
        <v>507</v>
      </c>
      <c r="E2" s="246" t="s">
        <v>508</v>
      </c>
      <c r="F2" s="246" t="s">
        <v>394</v>
      </c>
    </row>
    <row r="3" spans="1:6" ht="22.5" x14ac:dyDescent="0.25">
      <c r="A3" s="231" t="s">
        <v>509</v>
      </c>
      <c r="B3" s="18"/>
      <c r="C3" s="18">
        <v>0</v>
      </c>
      <c r="D3" s="18">
        <v>12</v>
      </c>
      <c r="E3" s="18">
        <v>0</v>
      </c>
      <c r="F3" s="122">
        <f>E3*D3</f>
        <v>0</v>
      </c>
    </row>
    <row r="4" spans="1:6" ht="22.5" x14ac:dyDescent="0.45">
      <c r="A4" s="231" t="s">
        <v>510</v>
      </c>
      <c r="B4" s="18"/>
      <c r="C4" s="18">
        <v>0</v>
      </c>
      <c r="D4" s="13">
        <v>12</v>
      </c>
      <c r="E4" s="13"/>
      <c r="F4" s="122">
        <f t="shared" ref="F4:F5" si="0">E4*D4</f>
        <v>0</v>
      </c>
    </row>
    <row r="5" spans="1:6" ht="22.5" x14ac:dyDescent="0.45">
      <c r="A5" s="232" t="s">
        <v>511</v>
      </c>
      <c r="B5" s="18"/>
      <c r="C5" s="18">
        <v>0</v>
      </c>
      <c r="D5" s="13">
        <v>12</v>
      </c>
      <c r="E5" s="13"/>
      <c r="F5" s="122">
        <f t="shared" si="0"/>
        <v>0</v>
      </c>
    </row>
    <row r="6" spans="1:6" s="23" customFormat="1" ht="24.75" x14ac:dyDescent="0.5">
      <c r="A6" s="233" t="s">
        <v>394</v>
      </c>
      <c r="B6" s="312">
        <f>SUM(B3:B5)</f>
        <v>0</v>
      </c>
      <c r="C6" s="312">
        <f>SUM(C3:C5)</f>
        <v>0</v>
      </c>
      <c r="D6" s="22"/>
      <c r="E6" s="22"/>
      <c r="F6" s="123">
        <f>SUM(F3:F5)</f>
        <v>0</v>
      </c>
    </row>
  </sheetData>
  <sheetProtection algorithmName="SHA-512" hashValue="n+XgehcEoQadM4yg02FJddusbNEKJyeeNKUCr0MhnDuqV1+I55YQkohNBXtA241GvbUhexBln88+lLnu557L6w==" saltValue="qcAQClQ4t4GNkLOWTFTFRQ==" spinCount="100000" sheet="1" formatCells="0" formatColumns="0" formatRows="0" insertColumns="0" insertRows="0" selectLockedCells="1"/>
  <mergeCells count="4">
    <mergeCell ref="A1:A2"/>
    <mergeCell ref="D1:F1"/>
    <mergeCell ref="C1:C2"/>
    <mergeCell ref="B1:B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E4" sqref="E4"/>
    </sheetView>
  </sheetViews>
  <sheetFormatPr defaultColWidth="8.7109375" defaultRowHeight="15" x14ac:dyDescent="0.25"/>
  <cols>
    <col min="1" max="1" width="9.140625" style="2" bestFit="1" customWidth="1"/>
    <col min="2" max="3" width="12.42578125" style="2" customWidth="1"/>
    <col min="4" max="4" width="5.5703125" style="2" bestFit="1" customWidth="1"/>
    <col min="5" max="5" width="10.140625" style="2" customWidth="1"/>
    <col min="6" max="6" width="10.5703125" style="2" bestFit="1" customWidth="1"/>
    <col min="7" max="16384" width="8.7109375" style="2"/>
  </cols>
  <sheetData>
    <row r="1" spans="1:7" ht="23.45" customHeight="1" x14ac:dyDescent="0.25">
      <c r="A1" s="470" t="str">
        <f>'150.3.1.2'!A1:A2</f>
        <v>खर्च शिर्षक</v>
      </c>
      <c r="B1" s="472" t="str">
        <f>Home!A4</f>
        <v>हालको अवस्था</v>
      </c>
      <c r="C1" s="472" t="str">
        <f>Home!B4</f>
        <v>असार मसान्तको</v>
      </c>
      <c r="D1" s="471" t="str">
        <f>Home!C4</f>
        <v>आ.व. २०८२/०८३</v>
      </c>
      <c r="E1" s="471"/>
      <c r="F1" s="471"/>
    </row>
    <row r="2" spans="1:7" ht="23.45" customHeight="1" x14ac:dyDescent="0.25">
      <c r="A2" s="470"/>
      <c r="B2" s="473"/>
      <c r="C2" s="473"/>
      <c r="D2" s="243" t="str">
        <f>'150.3.1.2'!D2</f>
        <v>लक्ष्य</v>
      </c>
      <c r="E2" s="243" t="str">
        <f>'150.3.1.2'!E2</f>
        <v>एकाई मूल्य</v>
      </c>
      <c r="F2" s="243" t="str">
        <f>'150.3.1.2'!F2</f>
        <v>जम्मा</v>
      </c>
    </row>
    <row r="3" spans="1:7" ht="22.5" x14ac:dyDescent="0.25">
      <c r="A3" s="234" t="s">
        <v>292</v>
      </c>
      <c r="B3" s="18"/>
      <c r="C3" s="18"/>
      <c r="D3" s="18">
        <v>12</v>
      </c>
      <c r="E3" s="18"/>
      <c r="F3" s="122">
        <f>E3*D3</f>
        <v>0</v>
      </c>
    </row>
    <row r="4" spans="1:7" ht="22.5" x14ac:dyDescent="0.45">
      <c r="A4" s="16"/>
      <c r="B4" s="18"/>
      <c r="C4" s="18"/>
      <c r="D4" s="13"/>
      <c r="E4" s="13"/>
      <c r="F4" s="121"/>
    </row>
    <row r="5" spans="1:7" ht="22.5" x14ac:dyDescent="0.45">
      <c r="A5" s="20"/>
      <c r="B5" s="18"/>
      <c r="C5" s="18"/>
      <c r="D5" s="13"/>
      <c r="E5" s="13"/>
      <c r="F5" s="121"/>
      <c r="G5" s="23"/>
    </row>
    <row r="6" spans="1:7" ht="24.75" x14ac:dyDescent="0.5">
      <c r="A6" s="235" t="s">
        <v>394</v>
      </c>
      <c r="B6" s="312">
        <f>SUM(B3:B5)</f>
        <v>0</v>
      </c>
      <c r="C6" s="312">
        <f>SUM(C3:C5)</f>
        <v>0</v>
      </c>
      <c r="D6" s="22"/>
      <c r="E6" s="22"/>
      <c r="F6" s="123">
        <f>SUM(F3:F5)</f>
        <v>0</v>
      </c>
    </row>
  </sheetData>
  <sheetProtection algorithmName="SHA-512" hashValue="8xX9x4G7lfwiqTxR8WaCIXoJqwvWPXbskHCkTFZM3dDftImAJh+XfysIvgU9LtXq51ABhgZZhGbY148PX6flOA==" saltValue="4IxoV+v3m6A5UlKUn9ZQfQ==" spinCount="100000" sheet="1" formatCells="0" formatColumns="0" formatRows="0" insertColumns="0" insertRows="0" selectLockedCells="1"/>
  <mergeCells count="4">
    <mergeCell ref="A1:A2"/>
    <mergeCell ref="D1:F1"/>
    <mergeCell ref="C1:C2"/>
    <mergeCell ref="B1:B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J6" sqref="J6"/>
    </sheetView>
  </sheetViews>
  <sheetFormatPr defaultColWidth="8.7109375" defaultRowHeight="21.75" x14ac:dyDescent="0.4"/>
  <cols>
    <col min="1" max="1" width="13.28515625" style="236" bestFit="1" customWidth="1"/>
    <col min="2" max="3" width="13.28515625" style="236" customWidth="1"/>
    <col min="4" max="4" width="5.5703125" style="2" bestFit="1" customWidth="1"/>
    <col min="5" max="5" width="11.5703125" style="2" bestFit="1" customWidth="1"/>
    <col min="6" max="6" width="15.28515625" style="2" bestFit="1" customWidth="1"/>
    <col min="7" max="16384" width="8.7109375" style="2"/>
  </cols>
  <sheetData>
    <row r="1" spans="1:6" s="236" customFormat="1" ht="23.45" customHeight="1" x14ac:dyDescent="0.4">
      <c r="A1" s="470" t="str">
        <f>'150.3.1.3'!A1:A2</f>
        <v>खर्च शिर्षक</v>
      </c>
      <c r="B1" s="472" t="str">
        <f>Home!A4</f>
        <v>हालको अवस्था</v>
      </c>
      <c r="C1" s="472" t="str">
        <f>Home!B4</f>
        <v>असार मसान्तको</v>
      </c>
      <c r="D1" s="471" t="str">
        <f>Home!C4</f>
        <v>आ.व. २०८२/०८३</v>
      </c>
      <c r="E1" s="471"/>
      <c r="F1" s="471"/>
    </row>
    <row r="2" spans="1:6" s="236" customFormat="1" ht="23.45" customHeight="1" x14ac:dyDescent="0.4">
      <c r="A2" s="470"/>
      <c r="B2" s="473"/>
      <c r="C2" s="473"/>
      <c r="D2" s="243" t="str">
        <f>'150.3.1.3'!D2</f>
        <v>लक्ष्य</v>
      </c>
      <c r="E2" s="243" t="str">
        <f>'150.3.1.3'!E2</f>
        <v>एकाई मूल्य</v>
      </c>
      <c r="F2" s="243" t="str">
        <f>'150.3.1.3'!F2</f>
        <v>जम्मा</v>
      </c>
    </row>
    <row r="3" spans="1:6" ht="22.5" x14ac:dyDescent="0.25">
      <c r="A3" s="231" t="s">
        <v>512</v>
      </c>
      <c r="B3" s="18"/>
      <c r="C3" s="18"/>
      <c r="D3" s="18">
        <v>12</v>
      </c>
      <c r="E3" s="18"/>
      <c r="F3" s="122">
        <f>E3*D3</f>
        <v>0</v>
      </c>
    </row>
    <row r="4" spans="1:6" ht="22.5" x14ac:dyDescent="0.45">
      <c r="A4" s="231" t="s">
        <v>513</v>
      </c>
      <c r="B4" s="18"/>
      <c r="C4" s="18"/>
      <c r="D4" s="19">
        <v>1</v>
      </c>
      <c r="E4" s="19"/>
      <c r="F4" s="122">
        <f t="shared" ref="F4:F5" si="0">E4*D4</f>
        <v>0</v>
      </c>
    </row>
    <row r="5" spans="1:6" ht="22.5" x14ac:dyDescent="0.45">
      <c r="A5" s="232"/>
      <c r="B5" s="18"/>
      <c r="C5" s="18"/>
      <c r="D5" s="13"/>
      <c r="E5" s="13"/>
      <c r="F5" s="122">
        <f t="shared" si="0"/>
        <v>0</v>
      </c>
    </row>
    <row r="6" spans="1:6" ht="27.75" x14ac:dyDescent="0.5">
      <c r="A6" s="233" t="s">
        <v>394</v>
      </c>
      <c r="B6" s="313">
        <f>SUM(B3:B5)</f>
        <v>0</v>
      </c>
      <c r="C6" s="313">
        <f>SUM(C3:C5)</f>
        <v>0</v>
      </c>
      <c r="D6" s="22"/>
      <c r="E6" s="22"/>
      <c r="F6" s="123">
        <f>SUM(F3:F5)</f>
        <v>0</v>
      </c>
    </row>
  </sheetData>
  <sheetProtection algorithmName="SHA-512" hashValue="1u5/ybNdu4Ebb7hC/eBj3oV/jiywRkEVgrzcpNv/UaPPBrmpWXr6agsXqCcuEipNFEVdjXoByL1Qjgj9Ssyd9w==" saltValue="E9a1aV5JKpOLaVQZ+xX4ug==" spinCount="100000" sheet="1" formatCells="0" formatColumns="0" formatRows="0" insertColumns="0" insertRows="0" selectLockedCells="1"/>
  <mergeCells count="4">
    <mergeCell ref="A1:A2"/>
    <mergeCell ref="D1:F1"/>
    <mergeCell ref="C1:C2"/>
    <mergeCell ref="B1:B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10" sqref="E10"/>
    </sheetView>
  </sheetViews>
  <sheetFormatPr defaultColWidth="8.7109375" defaultRowHeight="15" x14ac:dyDescent="0.25"/>
  <cols>
    <col min="1" max="1" width="21.5703125" style="2" bestFit="1" customWidth="1"/>
    <col min="2" max="3" width="20.140625" style="2" customWidth="1"/>
    <col min="4" max="4" width="5.5703125" style="2" bestFit="1" customWidth="1"/>
    <col min="5" max="5" width="11.5703125" style="2" bestFit="1" customWidth="1"/>
    <col min="6" max="6" width="15.28515625" style="2" bestFit="1" customWidth="1"/>
    <col min="7" max="16384" width="8.7109375" style="2"/>
  </cols>
  <sheetData>
    <row r="1" spans="1:6" ht="23.25" x14ac:dyDescent="0.25">
      <c r="A1" s="470" t="str">
        <f>'150.3.1.4'!A1:A2</f>
        <v>खर्च शिर्षक</v>
      </c>
      <c r="B1" s="472" t="str">
        <f>Home!A4</f>
        <v>हालको अवस्था</v>
      </c>
      <c r="C1" s="472" t="str">
        <f>Home!B4</f>
        <v>असार मसान्तको</v>
      </c>
      <c r="D1" s="471" t="str">
        <f>Home!C4</f>
        <v>आ.व. २०८२/०८३</v>
      </c>
      <c r="E1" s="471"/>
      <c r="F1" s="471"/>
    </row>
    <row r="2" spans="1:6" ht="23.45" customHeight="1" x14ac:dyDescent="0.25">
      <c r="A2" s="470"/>
      <c r="B2" s="473"/>
      <c r="C2" s="473"/>
      <c r="D2" s="243" t="str">
        <f>'150.3.1.4'!D2</f>
        <v>लक्ष्य</v>
      </c>
      <c r="E2" s="243" t="str">
        <f>'150.3.1.4'!E2</f>
        <v>एकाई मूल्य</v>
      </c>
      <c r="F2" s="243" t="str">
        <f>'150.3.1.4'!F2</f>
        <v>जम्मा</v>
      </c>
    </row>
    <row r="3" spans="1:6" ht="22.5" x14ac:dyDescent="0.25">
      <c r="A3" s="16" t="s">
        <v>43</v>
      </c>
      <c r="B3" s="249"/>
      <c r="C3" s="249"/>
      <c r="D3" s="18">
        <v>12</v>
      </c>
      <c r="E3" s="17"/>
      <c r="F3" s="122">
        <f t="shared" ref="F3:F9" si="0">E3*D3</f>
        <v>0</v>
      </c>
    </row>
    <row r="4" spans="1:6" ht="22.5" x14ac:dyDescent="0.25">
      <c r="A4" s="16" t="s">
        <v>47</v>
      </c>
      <c r="B4" s="249"/>
      <c r="C4" s="249"/>
      <c r="D4" s="18">
        <v>12</v>
      </c>
      <c r="E4" s="17"/>
      <c r="F4" s="122">
        <f t="shared" si="0"/>
        <v>0</v>
      </c>
    </row>
    <row r="5" spans="1:6" ht="22.5" x14ac:dyDescent="0.45">
      <c r="A5" s="16" t="s">
        <v>44</v>
      </c>
      <c r="B5" s="249"/>
      <c r="C5" s="249"/>
      <c r="D5" s="19">
        <v>12</v>
      </c>
      <c r="E5" s="13"/>
      <c r="F5" s="122">
        <f t="shared" si="0"/>
        <v>0</v>
      </c>
    </row>
    <row r="6" spans="1:6" ht="22.5" x14ac:dyDescent="0.45">
      <c r="A6" s="20" t="s">
        <v>45</v>
      </c>
      <c r="B6" s="250"/>
      <c r="C6" s="250"/>
      <c r="D6" s="19">
        <v>12</v>
      </c>
      <c r="E6" s="13"/>
      <c r="F6" s="122">
        <f t="shared" si="0"/>
        <v>0</v>
      </c>
    </row>
    <row r="7" spans="1:6" ht="22.5" x14ac:dyDescent="0.45">
      <c r="A7" s="20" t="s">
        <v>181</v>
      </c>
      <c r="B7" s="250"/>
      <c r="C7" s="250"/>
      <c r="D7" s="19">
        <v>1</v>
      </c>
      <c r="E7" s="13"/>
      <c r="F7" s="122">
        <f t="shared" si="0"/>
        <v>0</v>
      </c>
    </row>
    <row r="8" spans="1:6" ht="22.5" x14ac:dyDescent="0.45">
      <c r="A8" s="20" t="s">
        <v>182</v>
      </c>
      <c r="B8" s="250"/>
      <c r="C8" s="250"/>
      <c r="D8" s="19">
        <v>1</v>
      </c>
      <c r="E8" s="13"/>
      <c r="F8" s="122">
        <f t="shared" si="0"/>
        <v>0</v>
      </c>
    </row>
    <row r="9" spans="1:6" ht="22.5" x14ac:dyDescent="0.45">
      <c r="A9" s="20" t="s">
        <v>46</v>
      </c>
      <c r="B9" s="250"/>
      <c r="C9" s="250"/>
      <c r="D9" s="19">
        <v>1</v>
      </c>
      <c r="E9" s="13"/>
      <c r="F9" s="122">
        <f t="shared" si="0"/>
        <v>0</v>
      </c>
    </row>
    <row r="10" spans="1:6" ht="27.75" x14ac:dyDescent="0.5">
      <c r="A10" s="21" t="s">
        <v>0</v>
      </c>
      <c r="B10" s="314">
        <f>SUM(B3:B9)</f>
        <v>0</v>
      </c>
      <c r="C10" s="314">
        <f>SUM(C3:C9)</f>
        <v>0</v>
      </c>
      <c r="D10" s="22"/>
      <c r="E10" s="22"/>
      <c r="F10" s="123">
        <f>SUM(F3:F9)</f>
        <v>0</v>
      </c>
    </row>
  </sheetData>
  <sheetProtection algorithmName="SHA-512" hashValue="cpu8S0kCMZZHES2vftKO5zoQBfHtkhAjf9YkICu5r4Wj316cXu0nzA2FVA2ifQLaCkRtwTxvzIGbVUNmfa41wQ==" saltValue="/9m2dWw6aaumlxNlrmHYCQ==" spinCount="100000" sheet="1" formatCells="0" formatColumns="0" formatRows="0" insertColumns="0" insertRows="0" selectLockedCells="1"/>
  <mergeCells count="4">
    <mergeCell ref="A1:A2"/>
    <mergeCell ref="D1:F1"/>
    <mergeCell ref="C1:C2"/>
    <mergeCell ref="B1:B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I4" sqref="I4"/>
    </sheetView>
  </sheetViews>
  <sheetFormatPr defaultColWidth="8.7109375" defaultRowHeight="15" x14ac:dyDescent="0.25"/>
  <cols>
    <col min="1" max="1" width="34.140625" style="2" bestFit="1" customWidth="1"/>
    <col min="2" max="3" width="20.140625" style="2" customWidth="1"/>
    <col min="4" max="4" width="5.5703125" style="2" bestFit="1" customWidth="1"/>
    <col min="5" max="5" width="10.85546875" style="2" bestFit="1" customWidth="1"/>
    <col min="6" max="6" width="15.28515625" style="2" bestFit="1" customWidth="1"/>
    <col min="7" max="16384" width="8.7109375" style="2"/>
  </cols>
  <sheetData>
    <row r="1" spans="1:6" ht="23.25" x14ac:dyDescent="0.25">
      <c r="A1" s="470" t="str">
        <f>'150.3.1.5'!A1:A2</f>
        <v>खर्च शिर्षक</v>
      </c>
      <c r="B1" s="472" t="str">
        <f>Home!A4</f>
        <v>हालको अवस्था</v>
      </c>
      <c r="C1" s="472" t="str">
        <f>Home!B4</f>
        <v>असार मसान्तको</v>
      </c>
      <c r="D1" s="471" t="str">
        <f>Home!C4</f>
        <v>आ.व. २०८२/०८३</v>
      </c>
      <c r="E1" s="471"/>
      <c r="F1" s="471"/>
    </row>
    <row r="2" spans="1:6" ht="23.45" customHeight="1" x14ac:dyDescent="0.25">
      <c r="A2" s="470"/>
      <c r="B2" s="473"/>
      <c r="C2" s="473"/>
      <c r="D2" s="243" t="str">
        <f>'150.3.1.5'!D2</f>
        <v>लक्ष्य</v>
      </c>
      <c r="E2" s="243" t="str">
        <f>'150.3.1.5'!E2</f>
        <v>एकाई मूल्य</v>
      </c>
      <c r="F2" s="243" t="str">
        <f>'150.3.1.5'!F2</f>
        <v>जम्मा</v>
      </c>
    </row>
    <row r="3" spans="1:6" ht="22.5" x14ac:dyDescent="0.25">
      <c r="A3" s="16" t="s">
        <v>48</v>
      </c>
      <c r="B3" s="249"/>
      <c r="C3" s="249"/>
      <c r="D3" s="18">
        <v>12</v>
      </c>
      <c r="E3" s="17"/>
      <c r="F3" s="122">
        <f>E3*D3</f>
        <v>0</v>
      </c>
    </row>
    <row r="4" spans="1:6" ht="22.5" x14ac:dyDescent="0.25">
      <c r="A4" s="16" t="s">
        <v>49</v>
      </c>
      <c r="B4" s="249"/>
      <c r="C4" s="249"/>
      <c r="D4" s="18">
        <v>12</v>
      </c>
      <c r="E4" s="17"/>
      <c r="F4" s="122">
        <f t="shared" ref="F4:F7" si="0">E4*D4</f>
        <v>0</v>
      </c>
    </row>
    <row r="5" spans="1:6" ht="22.5" x14ac:dyDescent="0.45">
      <c r="A5" s="16" t="s">
        <v>348</v>
      </c>
      <c r="B5" s="249"/>
      <c r="C5" s="249"/>
      <c r="D5" s="19">
        <v>12</v>
      </c>
      <c r="E5" s="13"/>
      <c r="F5" s="122">
        <f t="shared" si="0"/>
        <v>0</v>
      </c>
    </row>
    <row r="6" spans="1:6" ht="22.5" x14ac:dyDescent="0.45">
      <c r="A6" s="16" t="s">
        <v>349</v>
      </c>
      <c r="B6" s="249"/>
      <c r="C6" s="249"/>
      <c r="D6" s="19">
        <v>12</v>
      </c>
      <c r="E6" s="13"/>
      <c r="F6" s="122">
        <f t="shared" si="0"/>
        <v>0</v>
      </c>
    </row>
    <row r="7" spans="1:6" ht="22.5" x14ac:dyDescent="0.45">
      <c r="A7" s="16" t="s">
        <v>50</v>
      </c>
      <c r="B7" s="249"/>
      <c r="C7" s="249"/>
      <c r="D7" s="19">
        <v>12</v>
      </c>
      <c r="E7" s="13"/>
      <c r="F7" s="122">
        <f t="shared" si="0"/>
        <v>0</v>
      </c>
    </row>
    <row r="8" spans="1:6" ht="27.75" x14ac:dyDescent="0.5">
      <c r="A8" s="21" t="s">
        <v>0</v>
      </c>
      <c r="B8" s="314">
        <f>SUM(B3:B7)</f>
        <v>0</v>
      </c>
      <c r="C8" s="314">
        <f>SUM(C3:C7)</f>
        <v>0</v>
      </c>
      <c r="D8" s="22"/>
      <c r="E8" s="22"/>
      <c r="F8" s="123">
        <f>SUM(F3:F7)</f>
        <v>0</v>
      </c>
    </row>
  </sheetData>
  <sheetProtection algorithmName="SHA-512" hashValue="Ob+rE++FuQEJeR6nWe5y7oitA7gtNLhum9wOcaprVdS7ZZ1o6+cKLmRIZYUih76lIDSlK4MPI5vJkNGrWBbfZA==" saltValue="Bz9sed8UHmy7emNgCc6GgA==" spinCount="100000" sheet="1" formatCells="0" formatColumns="0" formatRows="0" insertColumns="0" insertRows="0" selectLockedCells="1"/>
  <mergeCells count="4">
    <mergeCell ref="A1:A2"/>
    <mergeCell ref="D1:F1"/>
    <mergeCell ref="C1:C2"/>
    <mergeCell ref="B1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zoomScale="145" zoomScaleNormal="145" workbookViewId="0">
      <selection activeCell="C4" sqref="C4"/>
    </sheetView>
  </sheetViews>
  <sheetFormatPr defaultColWidth="9.140625" defaultRowHeight="17.25" x14ac:dyDescent="0.35"/>
  <cols>
    <col min="1" max="1" width="10" style="3" bestFit="1" customWidth="1"/>
    <col min="2" max="2" width="10.140625" style="3" bestFit="1" customWidth="1"/>
    <col min="3" max="3" width="13.42578125" style="3" bestFit="1" customWidth="1"/>
    <col min="4" max="5" width="13.28515625" style="3" hidden="1" customWidth="1"/>
    <col min="6" max="6" width="17.140625" style="3" hidden="1" customWidth="1"/>
    <col min="7" max="16384" width="9.140625" style="3"/>
  </cols>
  <sheetData>
    <row r="1" spans="1:7" ht="24.75" x14ac:dyDescent="0.45">
      <c r="A1" s="389" t="s">
        <v>558</v>
      </c>
      <c r="B1" s="389"/>
      <c r="C1" s="389"/>
      <c r="D1" s="389"/>
      <c r="E1" s="389"/>
      <c r="F1" s="389"/>
    </row>
    <row r="2" spans="1:7" ht="24.75" x14ac:dyDescent="0.45">
      <c r="A2" s="389" t="s">
        <v>559</v>
      </c>
      <c r="B2" s="389"/>
      <c r="C2" s="389"/>
      <c r="D2" s="389"/>
      <c r="E2" s="389"/>
      <c r="F2" s="389"/>
    </row>
    <row r="3" spans="1:7" ht="30" x14ac:dyDescent="0.35">
      <c r="A3" s="390" t="s">
        <v>574</v>
      </c>
      <c r="B3" s="391"/>
      <c r="C3" s="391"/>
      <c r="D3" s="391"/>
      <c r="E3" s="391"/>
      <c r="F3" s="391"/>
      <c r="G3" s="391"/>
    </row>
    <row r="4" spans="1:7" x14ac:dyDescent="0.35">
      <c r="A4" s="176" t="s">
        <v>39</v>
      </c>
      <c r="B4" s="176" t="s">
        <v>40</v>
      </c>
      <c r="C4" s="176" t="s">
        <v>355</v>
      </c>
      <c r="D4" s="176" t="s">
        <v>355</v>
      </c>
      <c r="E4" s="176" t="s">
        <v>356</v>
      </c>
      <c r="F4" s="176" t="s">
        <v>528</v>
      </c>
    </row>
  </sheetData>
  <mergeCells count="3">
    <mergeCell ref="A1:F1"/>
    <mergeCell ref="A2:F2"/>
    <mergeCell ref="A3:G3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F17" sqref="F17"/>
    </sheetView>
  </sheetViews>
  <sheetFormatPr defaultColWidth="8.7109375" defaultRowHeight="15" x14ac:dyDescent="0.25"/>
  <cols>
    <col min="1" max="1" width="28.5703125" style="2" bestFit="1" customWidth="1"/>
    <col min="2" max="3" width="20.28515625" style="2" customWidth="1"/>
    <col min="4" max="4" width="5.5703125" style="2" bestFit="1" customWidth="1"/>
    <col min="5" max="5" width="11.5703125" style="2" bestFit="1" customWidth="1"/>
    <col min="6" max="6" width="12.85546875" style="2" bestFit="1" customWidth="1"/>
    <col min="7" max="16384" width="8.7109375" style="2"/>
  </cols>
  <sheetData>
    <row r="1" spans="1:6" s="236" customFormat="1" ht="23.25" x14ac:dyDescent="0.4">
      <c r="A1" s="470" t="str">
        <f>'150.3.1.6'!A1:A2</f>
        <v>खर्च शिर्षक</v>
      </c>
      <c r="B1" s="472" t="str">
        <f>Home!A4</f>
        <v>हालको अवस्था</v>
      </c>
      <c r="C1" s="472" t="str">
        <f>Home!B4</f>
        <v>असार मसान्तको</v>
      </c>
      <c r="D1" s="471" t="str">
        <f>Home!C4</f>
        <v>आ.व. २०८२/०८३</v>
      </c>
      <c r="E1" s="471"/>
      <c r="F1" s="471"/>
    </row>
    <row r="2" spans="1:6" s="236" customFormat="1" ht="23.45" customHeight="1" x14ac:dyDescent="0.4">
      <c r="A2" s="470"/>
      <c r="B2" s="473"/>
      <c r="C2" s="473"/>
      <c r="D2" s="243" t="str">
        <f>'150.3.1.6'!D2</f>
        <v>लक्ष्य</v>
      </c>
      <c r="E2" s="243" t="str">
        <f>'150.3.1.6'!E2</f>
        <v>एकाई मूल्य</v>
      </c>
      <c r="F2" s="243" t="str">
        <f>'150.3.1.6'!F2</f>
        <v>जम्मा</v>
      </c>
    </row>
    <row r="3" spans="1:6" ht="22.5" x14ac:dyDescent="0.25">
      <c r="A3" s="16" t="s">
        <v>53</v>
      </c>
      <c r="B3" s="18"/>
      <c r="C3" s="18"/>
      <c r="D3" s="18">
        <v>12</v>
      </c>
      <c r="E3" s="17"/>
      <c r="F3" s="122">
        <f t="shared" ref="F3:F5" si="0">E3*D3</f>
        <v>0</v>
      </c>
    </row>
    <row r="4" spans="1:6" ht="22.5" x14ac:dyDescent="0.45">
      <c r="A4" s="16" t="s">
        <v>55</v>
      </c>
      <c r="B4" s="18"/>
      <c r="C4" s="18"/>
      <c r="D4" s="19">
        <v>1</v>
      </c>
      <c r="E4" s="13"/>
      <c r="F4" s="122">
        <f t="shared" si="0"/>
        <v>0</v>
      </c>
    </row>
    <row r="5" spans="1:6" ht="22.5" x14ac:dyDescent="0.45">
      <c r="A5" s="16"/>
      <c r="B5" s="18"/>
      <c r="C5" s="18"/>
      <c r="D5" s="19">
        <v>12</v>
      </c>
      <c r="E5" s="13"/>
      <c r="F5" s="122">
        <f t="shared" si="0"/>
        <v>0</v>
      </c>
    </row>
    <row r="6" spans="1:6" ht="27.75" x14ac:dyDescent="0.5">
      <c r="A6" s="21" t="s">
        <v>0</v>
      </c>
      <c r="B6" s="315">
        <f>SUM(B3:B5)</f>
        <v>0</v>
      </c>
      <c r="C6" s="315">
        <f>SUM(C3:C5)</f>
        <v>0</v>
      </c>
      <c r="D6" s="22"/>
      <c r="E6" s="22"/>
      <c r="F6" s="123">
        <f>SUM(F3:F5)</f>
        <v>0</v>
      </c>
    </row>
  </sheetData>
  <sheetProtection algorithmName="SHA-512" hashValue="RS7+ttJamcz36dRDzcpYmUgujU+PLLe8bdv4/8doavU/FPP1SrX5xbAVnkG7k0YKieWZoMqgjzwOSUCP2rJIrg==" saltValue="Emf0eBX7EFjm71dZomYUmQ==" spinCount="100000" sheet="1" formatCells="0" formatColumns="0" formatRows="0" insertColumns="0" insertRows="0" selectLockedCells="1"/>
  <mergeCells count="4">
    <mergeCell ref="A1:A2"/>
    <mergeCell ref="D1:F1"/>
    <mergeCell ref="C1:C2"/>
    <mergeCell ref="B1:B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K13" sqref="K13"/>
    </sheetView>
  </sheetViews>
  <sheetFormatPr defaultColWidth="8.7109375" defaultRowHeight="15" x14ac:dyDescent="0.25"/>
  <cols>
    <col min="1" max="1" width="29.42578125" style="2" bestFit="1" customWidth="1"/>
    <col min="2" max="2" width="5.5703125" style="2" bestFit="1" customWidth="1"/>
    <col min="3" max="3" width="11.5703125" style="2" bestFit="1" customWidth="1"/>
    <col min="4" max="4" width="12.85546875" style="2" bestFit="1" customWidth="1"/>
    <col min="5" max="16384" width="8.7109375" style="2"/>
  </cols>
  <sheetData>
    <row r="1" spans="1:4" ht="23.25" x14ac:dyDescent="0.25">
      <c r="A1" s="470" t="str">
        <f>'150.3.1.7'!A1:A2</f>
        <v>खर्च शिर्षक</v>
      </c>
      <c r="B1" s="471" t="str">
        <f>Home!C4</f>
        <v>आ.व. २०८२/०८३</v>
      </c>
      <c r="C1" s="471"/>
      <c r="D1" s="471"/>
    </row>
    <row r="2" spans="1:4" ht="21.75" customHeight="1" x14ac:dyDescent="0.25">
      <c r="A2" s="470"/>
      <c r="B2" s="243" t="str">
        <f>'150.3.1.7'!D2</f>
        <v>लक्ष्य</v>
      </c>
      <c r="C2" s="243" t="str">
        <f>'150.3.1.7'!E2</f>
        <v>एकाई मूल्य</v>
      </c>
      <c r="D2" s="243" t="str">
        <f>'150.3.1.7'!F2</f>
        <v>जम्मा</v>
      </c>
    </row>
    <row r="3" spans="1:4" ht="22.5" x14ac:dyDescent="0.25">
      <c r="A3" s="16" t="s">
        <v>52</v>
      </c>
      <c r="B3" s="18">
        <v>4</v>
      </c>
      <c r="C3" s="17"/>
      <c r="D3" s="122">
        <f t="shared" ref="D3:D5" si="0">C3*B3</f>
        <v>0</v>
      </c>
    </row>
    <row r="4" spans="1:4" ht="22.5" x14ac:dyDescent="0.45">
      <c r="A4" s="16" t="s">
        <v>54</v>
      </c>
      <c r="B4" s="19">
        <v>1</v>
      </c>
      <c r="C4" s="13"/>
      <c r="D4" s="122">
        <f t="shared" si="0"/>
        <v>0</v>
      </c>
    </row>
    <row r="5" spans="1:4" ht="22.5" x14ac:dyDescent="0.45">
      <c r="A5" s="16"/>
      <c r="B5" s="19">
        <v>12</v>
      </c>
      <c r="C5" s="13"/>
      <c r="D5" s="122">
        <f t="shared" si="0"/>
        <v>0</v>
      </c>
    </row>
    <row r="6" spans="1:4" ht="24.75" x14ac:dyDescent="0.5">
      <c r="A6" s="21" t="s">
        <v>0</v>
      </c>
      <c r="B6" s="22"/>
      <c r="C6" s="22"/>
      <c r="D6" s="123">
        <f>SUM(D3:D5)</f>
        <v>0</v>
      </c>
    </row>
  </sheetData>
  <sheetProtection algorithmName="SHA-512" hashValue="eBfQY7w/n9WYjgVdF7YXl+iehgaLRujolq3jGCZ23xGgsTporfm+PFFfPvWt9yZgUafTp9BmKzO2yUQ6XVtzFA==" saltValue="/fBQ3+ywxJeMsZBAqSi6pw==" spinCount="100000" sheet="1" formatCells="0" formatColumns="0" formatRows="0" insertColumns="0" insertRows="0" selectLockedCells="1"/>
  <mergeCells count="2">
    <mergeCell ref="A1:A2"/>
    <mergeCell ref="B1:D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7" sqref="H7"/>
    </sheetView>
  </sheetViews>
  <sheetFormatPr defaultColWidth="8.7109375" defaultRowHeight="15" x14ac:dyDescent="0.25"/>
  <cols>
    <col min="1" max="1" width="32.5703125" style="2" customWidth="1"/>
    <col min="2" max="2" width="5.5703125" style="2" bestFit="1" customWidth="1"/>
    <col min="3" max="3" width="11.5703125" style="2" bestFit="1" customWidth="1"/>
    <col min="4" max="4" width="4.85546875" style="2" bestFit="1" customWidth="1"/>
    <col min="5" max="16384" width="8.7109375" style="2"/>
  </cols>
  <sheetData>
    <row r="1" spans="1:4" s="236" customFormat="1" ht="23.25" x14ac:dyDescent="0.4">
      <c r="A1" s="470" t="str">
        <f>'150.3.1.8'!A1:A2</f>
        <v>खर्च शिर्षक</v>
      </c>
      <c r="B1" s="471" t="str">
        <f>Home!C4</f>
        <v>आ.व. २०८२/०८३</v>
      </c>
      <c r="C1" s="471"/>
      <c r="D1" s="471"/>
    </row>
    <row r="2" spans="1:4" s="236" customFormat="1" ht="21.75" customHeight="1" x14ac:dyDescent="0.4">
      <c r="A2" s="470"/>
      <c r="B2" s="243" t="str">
        <f>'150.3.1.8'!B2</f>
        <v>लक्ष्य</v>
      </c>
      <c r="C2" s="243" t="str">
        <f>'150.3.1.8'!C2</f>
        <v>एकाई मूल्य</v>
      </c>
      <c r="D2" s="243" t="str">
        <f>'150.3.1.8'!D2</f>
        <v>जम्मा</v>
      </c>
    </row>
    <row r="3" spans="1:4" ht="67.5" x14ac:dyDescent="0.25">
      <c r="A3" s="26" t="s">
        <v>56</v>
      </c>
      <c r="B3" s="18">
        <v>1</v>
      </c>
      <c r="C3" s="17"/>
      <c r="D3" s="122">
        <f t="shared" ref="D3:D5" si="0">C3*B3</f>
        <v>0</v>
      </c>
    </row>
    <row r="4" spans="1:4" ht="22.5" x14ac:dyDescent="0.45">
      <c r="A4" s="16" t="s">
        <v>57</v>
      </c>
      <c r="B4" s="19">
        <v>12</v>
      </c>
      <c r="C4" s="13"/>
      <c r="D4" s="122">
        <f t="shared" si="0"/>
        <v>0</v>
      </c>
    </row>
    <row r="5" spans="1:4" ht="22.5" x14ac:dyDescent="0.45">
      <c r="A5" s="16" t="s">
        <v>58</v>
      </c>
      <c r="B5" s="19">
        <v>12</v>
      </c>
      <c r="C5" s="13"/>
      <c r="D5" s="122">
        <f t="shared" si="0"/>
        <v>0</v>
      </c>
    </row>
    <row r="6" spans="1:4" ht="24.75" x14ac:dyDescent="0.5">
      <c r="A6" s="21" t="s">
        <v>0</v>
      </c>
      <c r="B6" s="22"/>
      <c r="C6" s="22"/>
      <c r="D6" s="123">
        <f>SUM(D3:D5)</f>
        <v>0</v>
      </c>
    </row>
  </sheetData>
  <sheetProtection algorithmName="SHA-512" hashValue="lZ82Yj1PN+aubKqEdG61/sR6MIYiFVZ11YzzP4D/fXIItu8PB2BOtuqClK6wfhWh8ZKMXV2IqZSowBhULiQFUA==" saltValue="+WZN0QzHrLV00igmwtFocw==" spinCount="100000" sheet="1" formatCells="0" formatColumns="0" insertColumns="0" insertRows="0" selectLockedCells="1"/>
  <mergeCells count="2">
    <mergeCell ref="A1:A2"/>
    <mergeCell ref="B1:D1"/>
  </mergeCells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10" sqref="G10"/>
    </sheetView>
  </sheetViews>
  <sheetFormatPr defaultColWidth="8.7109375" defaultRowHeight="15" x14ac:dyDescent="0.25"/>
  <cols>
    <col min="1" max="1" width="40.140625" style="2" bestFit="1" customWidth="1"/>
    <col min="2" max="2" width="7.42578125" style="2" customWidth="1"/>
    <col min="3" max="3" width="11.5703125" style="2" bestFit="1" customWidth="1"/>
    <col min="4" max="4" width="15.28515625" style="2" bestFit="1" customWidth="1"/>
    <col min="5" max="16384" width="8.7109375" style="2"/>
  </cols>
  <sheetData>
    <row r="1" spans="1:4" s="236" customFormat="1" ht="23.25" x14ac:dyDescent="0.4">
      <c r="A1" s="470" t="str">
        <f>'150.3.1.9'!A1:A2</f>
        <v>खर्च शिर्षक</v>
      </c>
      <c r="B1" s="471" t="str">
        <f>Home!C4</f>
        <v>आ.व. २०८२/०८३</v>
      </c>
      <c r="C1" s="471"/>
      <c r="D1" s="471"/>
    </row>
    <row r="2" spans="1:4" s="236" customFormat="1" ht="21.75" customHeight="1" x14ac:dyDescent="0.4">
      <c r="A2" s="470"/>
      <c r="B2" s="230" t="s">
        <v>507</v>
      </c>
      <c r="C2" s="237" t="s">
        <v>508</v>
      </c>
      <c r="D2" s="230" t="s">
        <v>394</v>
      </c>
    </row>
    <row r="3" spans="1:4" ht="22.5" x14ac:dyDescent="0.25">
      <c r="A3" s="26" t="s">
        <v>59</v>
      </c>
      <c r="B3" s="18">
        <v>12</v>
      </c>
      <c r="C3" s="17"/>
      <c r="D3" s="122">
        <f t="shared" ref="D3:D6" si="0">C3*B3</f>
        <v>0</v>
      </c>
    </row>
    <row r="4" spans="1:4" ht="22.5" x14ac:dyDescent="0.45">
      <c r="A4" s="16" t="s">
        <v>61</v>
      </c>
      <c r="B4" s="19">
        <v>1</v>
      </c>
      <c r="C4" s="13"/>
      <c r="D4" s="122">
        <f t="shared" si="0"/>
        <v>0</v>
      </c>
    </row>
    <row r="5" spans="1:4" ht="22.5" x14ac:dyDescent="0.45">
      <c r="A5" s="16" t="s">
        <v>60</v>
      </c>
      <c r="B5" s="19">
        <v>12</v>
      </c>
      <c r="C5" s="13"/>
      <c r="D5" s="122">
        <f t="shared" si="0"/>
        <v>0</v>
      </c>
    </row>
    <row r="6" spans="1:4" ht="22.5" x14ac:dyDescent="0.45">
      <c r="A6" s="24" t="s">
        <v>62</v>
      </c>
      <c r="B6" s="19">
        <v>12</v>
      </c>
      <c r="C6" s="13"/>
      <c r="D6" s="122">
        <f t="shared" si="0"/>
        <v>0</v>
      </c>
    </row>
    <row r="7" spans="1:4" ht="24.75" x14ac:dyDescent="0.5">
      <c r="A7" s="21" t="s">
        <v>0</v>
      </c>
      <c r="B7" s="22"/>
      <c r="C7" s="22"/>
      <c r="D7" s="123">
        <f>SUM(D3:D6)</f>
        <v>0</v>
      </c>
    </row>
  </sheetData>
  <sheetProtection algorithmName="SHA-512" hashValue="/vPCh7EZ5q5436tvGF0KBFWceEZ3YFZlKk/EjdQy7ybHzLHQmv6uKBbZzyyqkK09iqN+wLFIu5EdLuawtxkoIw==" saltValue="USVS9fT90bfdfFVkqJAQPQ==" spinCount="100000" sheet="1" formatCells="0" formatColumns="0" formatRows="0" insertColumns="0" insertRows="0" selectLockedCells="1"/>
  <mergeCells count="2">
    <mergeCell ref="A1:A2"/>
    <mergeCell ref="B1:D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5" sqref="A5"/>
    </sheetView>
  </sheetViews>
  <sheetFormatPr defaultColWidth="8.7109375" defaultRowHeight="15" x14ac:dyDescent="0.25"/>
  <cols>
    <col min="1" max="1" width="24.5703125" style="2" bestFit="1" customWidth="1"/>
    <col min="2" max="2" width="5.5703125" style="2" bestFit="1" customWidth="1"/>
    <col min="3" max="3" width="11.5703125" style="2" bestFit="1" customWidth="1"/>
    <col min="4" max="4" width="15.28515625" style="2" bestFit="1" customWidth="1"/>
    <col min="5" max="16384" width="8.7109375" style="2"/>
  </cols>
  <sheetData>
    <row r="1" spans="1:4" ht="21" customHeight="1" x14ac:dyDescent="0.25">
      <c r="A1" s="474" t="str">
        <f>'150.3.1.10'!A1:A2</f>
        <v>खर्च शिर्षक</v>
      </c>
      <c r="B1" s="467" t="str">
        <f>Home!C4</f>
        <v>आ.व. २०८२/०८३</v>
      </c>
      <c r="C1" s="467"/>
      <c r="D1" s="467"/>
    </row>
    <row r="2" spans="1:4" ht="49.5" customHeight="1" x14ac:dyDescent="0.25">
      <c r="A2" s="474"/>
      <c r="B2" s="316" t="str">
        <f>'150.3.1.10'!B2</f>
        <v>लक्ष्य</v>
      </c>
      <c r="C2" s="316" t="str">
        <f>'150.3.1.10'!C2</f>
        <v>एकाई मूल्य</v>
      </c>
      <c r="D2" s="316" t="str">
        <f>'150.3.1.10'!D2</f>
        <v>जम्मा</v>
      </c>
    </row>
    <row r="3" spans="1:4" ht="45" x14ac:dyDescent="0.25">
      <c r="A3" s="26" t="s">
        <v>63</v>
      </c>
      <c r="B3" s="18">
        <v>12</v>
      </c>
      <c r="C3" s="17"/>
      <c r="D3" s="122">
        <f t="shared" ref="D3:D5" si="0">C3*B3</f>
        <v>0</v>
      </c>
    </row>
    <row r="4" spans="1:4" ht="22.5" x14ac:dyDescent="0.45">
      <c r="A4" s="16" t="s">
        <v>64</v>
      </c>
      <c r="B4" s="19">
        <v>12</v>
      </c>
      <c r="C4" s="13"/>
      <c r="D4" s="122">
        <f t="shared" si="0"/>
        <v>0</v>
      </c>
    </row>
    <row r="5" spans="1:4" ht="22.5" x14ac:dyDescent="0.45">
      <c r="A5" s="16" t="s">
        <v>65</v>
      </c>
      <c r="B5" s="19">
        <v>2</v>
      </c>
      <c r="C5" s="13"/>
      <c r="D5" s="122">
        <f t="shared" si="0"/>
        <v>0</v>
      </c>
    </row>
    <row r="6" spans="1:4" ht="22.5" x14ac:dyDescent="0.45">
      <c r="A6" s="24"/>
      <c r="B6" s="19"/>
      <c r="C6" s="13"/>
      <c r="D6" s="121"/>
    </row>
    <row r="7" spans="1:4" ht="24.75" x14ac:dyDescent="0.5">
      <c r="A7" s="21" t="s">
        <v>0</v>
      </c>
      <c r="B7" s="22"/>
      <c r="C7" s="22"/>
      <c r="D7" s="123">
        <f>SUM(D3:D6)</f>
        <v>0</v>
      </c>
    </row>
  </sheetData>
  <sheetProtection algorithmName="SHA-512" hashValue="Za49qAuI1baHDFLx6QpqMifAt/U6CEV3704XumHjaU8x3KCv5ewxP4zAxJSbx30Y50xeAAJq1O8AJso+2Owj6w==" saltValue="BhC6c0GBuPiEkO81wJo6WQ==" spinCount="100000" sheet="1" formatCells="0" formatColumns="0" formatRows="0" insertColumns="0" insertRows="0" selectLockedCells="1"/>
  <mergeCells count="2">
    <mergeCell ref="A1:A2"/>
    <mergeCell ref="B1:D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3" sqref="C3"/>
    </sheetView>
  </sheetViews>
  <sheetFormatPr defaultColWidth="8.7109375" defaultRowHeight="15" x14ac:dyDescent="0.25"/>
  <cols>
    <col min="1" max="1" width="35.28515625" style="2" bestFit="1" customWidth="1"/>
    <col min="2" max="2" width="5.5703125" style="2" bestFit="1" customWidth="1"/>
    <col min="3" max="3" width="11.5703125" style="2" bestFit="1" customWidth="1"/>
    <col min="4" max="4" width="12.85546875" style="2" bestFit="1" customWidth="1"/>
    <col min="5" max="16384" width="8.7109375" style="2"/>
  </cols>
  <sheetData>
    <row r="1" spans="1:4" s="236" customFormat="1" ht="23.25" customHeight="1" x14ac:dyDescent="0.4">
      <c r="A1" s="470" t="str">
        <f>'150.3.1.11'!A1:A2</f>
        <v>खर्च शिर्षक</v>
      </c>
      <c r="B1" s="471" t="str">
        <f>Home!C4</f>
        <v>आ.व. २०८२/०८३</v>
      </c>
      <c r="C1" s="471"/>
      <c r="D1" s="471"/>
    </row>
    <row r="2" spans="1:4" s="236" customFormat="1" ht="21.75" customHeight="1" x14ac:dyDescent="0.4">
      <c r="A2" s="470"/>
      <c r="B2" s="243" t="str">
        <f>'150.3.1.11'!B2</f>
        <v>लक्ष्य</v>
      </c>
      <c r="C2" s="243" t="str">
        <f>'150.3.1.11'!C2</f>
        <v>एकाई मूल्य</v>
      </c>
      <c r="D2" s="243" t="str">
        <f>'150.3.1.11'!D2</f>
        <v>जम्मा</v>
      </c>
    </row>
    <row r="3" spans="1:4" ht="45" x14ac:dyDescent="0.25">
      <c r="A3" s="26" t="s">
        <v>66</v>
      </c>
      <c r="B3" s="18">
        <v>1</v>
      </c>
      <c r="C3" s="17"/>
      <c r="D3" s="122">
        <f t="shared" ref="D3:D7" si="0">C3*B3</f>
        <v>0</v>
      </c>
    </row>
    <row r="4" spans="1:4" ht="22.5" x14ac:dyDescent="0.45">
      <c r="A4" s="16" t="s">
        <v>67</v>
      </c>
      <c r="B4" s="19">
        <v>1</v>
      </c>
      <c r="C4" s="13"/>
      <c r="D4" s="122">
        <f t="shared" si="0"/>
        <v>0</v>
      </c>
    </row>
    <row r="5" spans="1:4" ht="22.5" x14ac:dyDescent="0.45">
      <c r="A5" s="16" t="s">
        <v>68</v>
      </c>
      <c r="B5" s="19">
        <v>1</v>
      </c>
      <c r="C5" s="13"/>
      <c r="D5" s="122">
        <f t="shared" si="0"/>
        <v>0</v>
      </c>
    </row>
    <row r="6" spans="1:4" ht="22.5" x14ac:dyDescent="0.45">
      <c r="A6" s="24" t="s">
        <v>69</v>
      </c>
      <c r="B6" s="19"/>
      <c r="C6" s="13"/>
      <c r="D6" s="122">
        <f t="shared" si="0"/>
        <v>0</v>
      </c>
    </row>
    <row r="7" spans="1:4" ht="22.5" x14ac:dyDescent="0.45">
      <c r="A7" s="24" t="s">
        <v>190</v>
      </c>
      <c r="B7" s="19"/>
      <c r="C7" s="13"/>
      <c r="D7" s="122">
        <f t="shared" si="0"/>
        <v>0</v>
      </c>
    </row>
    <row r="8" spans="1:4" ht="24.75" x14ac:dyDescent="0.5">
      <c r="A8" s="21" t="s">
        <v>0</v>
      </c>
      <c r="B8" s="22"/>
      <c r="C8" s="22"/>
      <c r="D8" s="123">
        <f>SUM(D3:D7)</f>
        <v>0</v>
      </c>
    </row>
  </sheetData>
  <sheetProtection algorithmName="SHA-512" hashValue="QxZKgeIfOPNmA04pdOhdjI7O+QF80zkKU+33boTf76DWx0nm91sw0FSTQRFt4QXpc5uN0gsM1kj2OY4zim8zrw==" saltValue="ULz5dkTqp1XNlETeXD+3qQ==" spinCount="100000" sheet="1" formatCells="0" formatColumns="0" formatRows="0" insertColumns="0" insertRows="0" selectLockedCells="1"/>
  <mergeCells count="2">
    <mergeCell ref="A1:A2"/>
    <mergeCell ref="B1:D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pane xSplit="2" ySplit="3" topLeftCell="C4" activePane="bottomRight" state="frozen"/>
      <selection activeCell="A16" sqref="A16"/>
      <selection pane="topRight" activeCell="A16" sqref="A16"/>
      <selection pane="bottomLeft" activeCell="A16" sqref="A16"/>
      <selection pane="bottomRight" activeCell="C4" sqref="C4:C8"/>
    </sheetView>
  </sheetViews>
  <sheetFormatPr defaultColWidth="9.140625" defaultRowHeight="18" x14ac:dyDescent="0.25"/>
  <cols>
    <col min="1" max="1" width="5.28515625" style="32" bestFit="1" customWidth="1"/>
    <col min="2" max="2" width="21.85546875" style="32" bestFit="1" customWidth="1"/>
    <col min="3" max="3" width="11" style="32" bestFit="1" customWidth="1"/>
    <col min="4" max="4" width="11.5703125" style="32" bestFit="1" customWidth="1"/>
    <col min="5" max="5" width="7.140625" style="32" bestFit="1" customWidth="1"/>
    <col min="6" max="6" width="11.5703125" style="32" bestFit="1" customWidth="1"/>
    <col min="7" max="16384" width="9.140625" style="32"/>
  </cols>
  <sheetData>
    <row r="1" spans="1:8" s="27" customFormat="1" ht="18.75" x14ac:dyDescent="0.25">
      <c r="A1" s="318"/>
      <c r="B1" s="318"/>
      <c r="C1" s="318"/>
      <c r="D1" s="318"/>
      <c r="E1" s="318"/>
      <c r="F1" s="318"/>
    </row>
    <row r="2" spans="1:8" s="198" customFormat="1" ht="23.25" x14ac:dyDescent="0.5">
      <c r="A2" s="477" t="s">
        <v>452</v>
      </c>
      <c r="B2" s="477" t="s">
        <v>514</v>
      </c>
      <c r="C2" s="449" t="str">
        <f>Home!C4</f>
        <v>आ.व. २०८२/०८३</v>
      </c>
      <c r="D2" s="450"/>
      <c r="E2" s="450"/>
      <c r="F2" s="451"/>
    </row>
    <row r="3" spans="1:8" s="239" customFormat="1" ht="23.25" x14ac:dyDescent="0.25">
      <c r="A3" s="478"/>
      <c r="B3" s="478"/>
      <c r="C3" s="238" t="s">
        <v>515</v>
      </c>
      <c r="D3" s="320" t="s">
        <v>516</v>
      </c>
      <c r="E3" s="238" t="s">
        <v>506</v>
      </c>
      <c r="F3" s="238" t="s">
        <v>517</v>
      </c>
    </row>
    <row r="4" spans="1:8" ht="22.5" x14ac:dyDescent="0.45">
      <c r="A4" s="13">
        <v>1</v>
      </c>
      <c r="B4" s="28" t="s">
        <v>70</v>
      </c>
      <c r="C4" s="30"/>
      <c r="D4" s="321"/>
      <c r="E4" s="30"/>
      <c r="F4" s="29">
        <f>C4*D4*E4</f>
        <v>0</v>
      </c>
      <c r="G4" s="31"/>
      <c r="H4" s="31"/>
    </row>
    <row r="5" spans="1:8" ht="22.5" x14ac:dyDescent="0.45">
      <c r="A5" s="13">
        <v>2</v>
      </c>
      <c r="B5" s="28" t="s">
        <v>71</v>
      </c>
      <c r="C5" s="30"/>
      <c r="D5" s="321"/>
      <c r="E5" s="30"/>
      <c r="F5" s="29">
        <f t="shared" ref="F5:F8" si="0">C5*D5*E5</f>
        <v>0</v>
      </c>
      <c r="G5" s="31"/>
      <c r="H5" s="31"/>
    </row>
    <row r="6" spans="1:8" ht="22.5" x14ac:dyDescent="0.45">
      <c r="A6" s="13">
        <v>3</v>
      </c>
      <c r="B6" s="28" t="s">
        <v>72</v>
      </c>
      <c r="C6" s="30"/>
      <c r="D6" s="321"/>
      <c r="E6" s="30"/>
      <c r="F6" s="29">
        <f t="shared" si="0"/>
        <v>0</v>
      </c>
      <c r="G6" s="31"/>
      <c r="H6" s="31"/>
    </row>
    <row r="7" spans="1:8" ht="22.5" x14ac:dyDescent="0.45">
      <c r="A7" s="13">
        <v>4</v>
      </c>
      <c r="B7" s="28" t="s">
        <v>350</v>
      </c>
      <c r="C7" s="30"/>
      <c r="D7" s="321"/>
      <c r="E7" s="30"/>
      <c r="F7" s="29">
        <f t="shared" si="0"/>
        <v>0</v>
      </c>
      <c r="G7" s="31"/>
      <c r="H7" s="31"/>
    </row>
    <row r="8" spans="1:8" ht="22.5" x14ac:dyDescent="0.45">
      <c r="A8" s="13">
        <v>5</v>
      </c>
      <c r="B8" s="319" t="s">
        <v>73</v>
      </c>
      <c r="C8" s="30"/>
      <c r="D8" s="321"/>
      <c r="E8" s="30"/>
      <c r="F8" s="29">
        <f t="shared" si="0"/>
        <v>0</v>
      </c>
      <c r="G8" s="31"/>
      <c r="H8" s="31"/>
    </row>
    <row r="9" spans="1:8" ht="19.5" x14ac:dyDescent="0.35">
      <c r="A9" s="475" t="s">
        <v>0</v>
      </c>
      <c r="B9" s="476"/>
      <c r="C9" s="33"/>
      <c r="D9" s="33"/>
      <c r="E9" s="33"/>
      <c r="F9" s="29">
        <f>SUM(F4:F8)</f>
        <v>0</v>
      </c>
      <c r="G9" s="31"/>
      <c r="H9" s="31"/>
    </row>
  </sheetData>
  <sheetProtection algorithmName="SHA-512" hashValue="d9B1z1IpCVWhY0sktGXdhbNwi2J7FvETqsAD2rT04kVzFM+ZBYHIA6YtX75Arnd515eHHlbJBaJ/37Q5IK9Fpw==" saltValue="i+zFOtTpBJcz1xrSxNXusA==" spinCount="100000" sheet="1" formatCells="0" formatColumns="0" formatRows="0" insertColumns="0" insertRows="0" selectLockedCells="1"/>
  <mergeCells count="4">
    <mergeCell ref="A9:B9"/>
    <mergeCell ref="A2:A3"/>
    <mergeCell ref="B2:B3"/>
    <mergeCell ref="C2:F2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B4" sqref="B4:B11"/>
    </sheetView>
  </sheetViews>
  <sheetFormatPr defaultColWidth="8.7109375" defaultRowHeight="23.25" x14ac:dyDescent="0.35"/>
  <cols>
    <col min="1" max="1" width="36" style="34" bestFit="1" customWidth="1"/>
    <col min="2" max="2" width="7" style="34" bestFit="1" customWidth="1"/>
    <col min="3" max="3" width="11.5703125" style="34" bestFit="1" customWidth="1"/>
    <col min="4" max="4" width="9.42578125" style="34" bestFit="1" customWidth="1"/>
    <col min="5" max="16384" width="8.7109375" style="34"/>
  </cols>
  <sheetData>
    <row r="1" spans="1:4" s="193" customFormat="1" x14ac:dyDescent="0.25">
      <c r="A1" s="470" t="str">
        <f>'150.3.1.12'!A1:A2</f>
        <v>खर्च शिर्षक</v>
      </c>
      <c r="B1" s="471" t="str">
        <f>Home!C4</f>
        <v>आ.व. २०८२/०८३</v>
      </c>
      <c r="C1" s="471"/>
      <c r="D1" s="471"/>
    </row>
    <row r="2" spans="1:4" s="193" customFormat="1" ht="23.45" customHeight="1" x14ac:dyDescent="0.25">
      <c r="A2" s="470"/>
      <c r="B2" s="243" t="str">
        <f>'150.3.1.12'!B2</f>
        <v>लक्ष्य</v>
      </c>
      <c r="C2" s="243" t="str">
        <f>'150.3.1.12'!C2</f>
        <v>एकाई मूल्य</v>
      </c>
      <c r="D2" s="243" t="str">
        <f>'150.3.1.12'!D2</f>
        <v>जम्मा</v>
      </c>
    </row>
    <row r="3" spans="1:4" s="15" customFormat="1" ht="22.5" x14ac:dyDescent="0.25">
      <c r="A3" s="16" t="s">
        <v>78</v>
      </c>
      <c r="B3" s="124">
        <f>'Member Projection sheet '!D3</f>
        <v>3015</v>
      </c>
      <c r="C3" s="56"/>
      <c r="D3" s="125">
        <f>C3*B3</f>
        <v>0</v>
      </c>
    </row>
    <row r="4" spans="1:4" x14ac:dyDescent="0.35">
      <c r="A4" s="16" t="s">
        <v>74</v>
      </c>
      <c r="B4" s="33"/>
      <c r="C4" s="33"/>
      <c r="D4" s="125">
        <f t="shared" ref="D4:D11" si="0">C4*B4</f>
        <v>0</v>
      </c>
    </row>
    <row r="5" spans="1:4" x14ac:dyDescent="0.35">
      <c r="A5" s="16" t="s">
        <v>80</v>
      </c>
      <c r="B5" s="33"/>
      <c r="C5" s="33"/>
      <c r="D5" s="125">
        <f t="shared" si="0"/>
        <v>0</v>
      </c>
    </row>
    <row r="6" spans="1:4" x14ac:dyDescent="0.35">
      <c r="A6" s="16" t="s">
        <v>79</v>
      </c>
      <c r="B6" s="33"/>
      <c r="C6" s="33"/>
      <c r="D6" s="125">
        <f t="shared" si="0"/>
        <v>0</v>
      </c>
    </row>
    <row r="7" spans="1:4" x14ac:dyDescent="0.35">
      <c r="A7" s="16" t="s">
        <v>75</v>
      </c>
      <c r="B7" s="33"/>
      <c r="C7" s="33"/>
      <c r="D7" s="125">
        <f t="shared" si="0"/>
        <v>0</v>
      </c>
    </row>
    <row r="8" spans="1:4" x14ac:dyDescent="0.35">
      <c r="A8" s="16" t="s">
        <v>76</v>
      </c>
      <c r="B8" s="33"/>
      <c r="C8" s="33"/>
      <c r="D8" s="125">
        <f t="shared" si="0"/>
        <v>0</v>
      </c>
    </row>
    <row r="9" spans="1:4" x14ac:dyDescent="0.35">
      <c r="A9" s="16" t="s">
        <v>81</v>
      </c>
      <c r="B9" s="33"/>
      <c r="C9" s="33"/>
      <c r="D9" s="125">
        <f t="shared" si="0"/>
        <v>0</v>
      </c>
    </row>
    <row r="10" spans="1:4" x14ac:dyDescent="0.35">
      <c r="A10" s="16" t="s">
        <v>77</v>
      </c>
      <c r="B10" s="33"/>
      <c r="C10" s="33"/>
      <c r="D10" s="125">
        <f t="shared" si="0"/>
        <v>0</v>
      </c>
    </row>
    <row r="11" spans="1:4" x14ac:dyDescent="0.35">
      <c r="A11" s="16" t="s">
        <v>82</v>
      </c>
      <c r="B11" s="33"/>
      <c r="C11" s="33"/>
      <c r="D11" s="125">
        <f t="shared" si="0"/>
        <v>0</v>
      </c>
    </row>
    <row r="12" spans="1:4" s="129" customFormat="1" ht="24.75" x14ac:dyDescent="0.35">
      <c r="A12" s="130" t="s">
        <v>0</v>
      </c>
      <c r="B12" s="127"/>
      <c r="C12" s="127"/>
      <c r="D12" s="128">
        <f>SUM(D3:D11)</f>
        <v>0</v>
      </c>
    </row>
  </sheetData>
  <sheetProtection algorithmName="SHA-512" hashValue="ihBEubvZIFRzw+r5RwzX7d7VC7d5j6+eh2BlBQq5K/DBD+wbr6nbVRLXuIvOwkQLtwhb0NAk4lOwaqalgSl/MA==" saltValue="MwmN4f25Nbq4B8YM4rlVBQ==" spinCount="100000" sheet="1" formatCells="0" formatColumns="0" formatRows="0" insertColumns="0" insertRows="0" selectLockedCells="1"/>
  <mergeCells count="2">
    <mergeCell ref="A1:A2"/>
    <mergeCell ref="B1:D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pane xSplit="2" ySplit="2" topLeftCell="C18" activePane="bottomRight" state="frozen"/>
      <selection activeCell="A16" sqref="A16"/>
      <selection pane="topRight" activeCell="A16" sqref="A16"/>
      <selection pane="bottomLeft" activeCell="A16" sqref="A16"/>
      <selection pane="bottomRight" activeCell="C3" sqref="C3:C29"/>
    </sheetView>
  </sheetViews>
  <sheetFormatPr defaultColWidth="8.7109375" defaultRowHeight="15" x14ac:dyDescent="0.25"/>
  <cols>
    <col min="1" max="1" width="5.7109375" style="2" bestFit="1" customWidth="1"/>
    <col min="2" max="2" width="44.42578125" style="2" bestFit="1" customWidth="1"/>
    <col min="3" max="3" width="5.5703125" style="2" bestFit="1" customWidth="1"/>
    <col min="4" max="4" width="13.85546875" style="2" customWidth="1"/>
    <col min="5" max="5" width="15.28515625" style="2" bestFit="1" customWidth="1"/>
    <col min="6" max="16384" width="8.7109375" style="2"/>
  </cols>
  <sheetData>
    <row r="1" spans="1:5" s="236" customFormat="1" ht="23.25" x14ac:dyDescent="0.4">
      <c r="A1" s="484" t="str">
        <f>'150.3.1.14'!A1:A2</f>
        <v>खर्च शिर्षक</v>
      </c>
      <c r="B1" s="485"/>
      <c r="C1" s="471" t="str">
        <f>Home!C4</f>
        <v>आ.व. २०८२/०८३</v>
      </c>
      <c r="D1" s="471"/>
      <c r="E1" s="471"/>
    </row>
    <row r="2" spans="1:5" s="236" customFormat="1" ht="21.6" customHeight="1" x14ac:dyDescent="0.4">
      <c r="A2" s="486"/>
      <c r="B2" s="487"/>
      <c r="C2" s="243" t="str">
        <f>'150.3.1.14'!B2</f>
        <v>लक्ष्य</v>
      </c>
      <c r="D2" s="243" t="str">
        <f>'150.3.1.14'!C2</f>
        <v>एकाई मूल्य</v>
      </c>
      <c r="E2" s="243" t="str">
        <f>'150.3.1.14'!D2</f>
        <v>जम्मा</v>
      </c>
    </row>
    <row r="3" spans="1:5" ht="22.5" x14ac:dyDescent="0.25">
      <c r="A3" s="479" t="s">
        <v>83</v>
      </c>
      <c r="B3" s="35"/>
      <c r="C3" s="18"/>
      <c r="D3" s="18"/>
      <c r="E3" s="122">
        <f>D3*C3</f>
        <v>0</v>
      </c>
    </row>
    <row r="4" spans="1:5" ht="22.5" x14ac:dyDescent="0.45">
      <c r="A4" s="480"/>
      <c r="B4" s="20" t="s">
        <v>577</v>
      </c>
      <c r="C4" s="19"/>
      <c r="D4" s="19"/>
      <c r="E4" s="122">
        <f t="shared" ref="E4:E29" si="0">D4*C4</f>
        <v>0</v>
      </c>
    </row>
    <row r="5" spans="1:5" ht="22.5" x14ac:dyDescent="0.45">
      <c r="A5" s="480"/>
      <c r="B5" s="20" t="s">
        <v>84</v>
      </c>
      <c r="C5" s="19"/>
      <c r="D5" s="19"/>
      <c r="E5" s="122">
        <f>D5*C5</f>
        <v>0</v>
      </c>
    </row>
    <row r="6" spans="1:5" ht="22.5" x14ac:dyDescent="0.45">
      <c r="A6" s="480"/>
      <c r="B6" s="20" t="s">
        <v>85</v>
      </c>
      <c r="C6" s="19"/>
      <c r="D6" s="19"/>
      <c r="E6" s="122">
        <f t="shared" si="0"/>
        <v>0</v>
      </c>
    </row>
    <row r="7" spans="1:5" ht="22.5" x14ac:dyDescent="0.45">
      <c r="A7" s="480"/>
      <c r="B7" s="20"/>
      <c r="C7" s="19"/>
      <c r="D7" s="19"/>
      <c r="E7" s="122">
        <f t="shared" si="0"/>
        <v>0</v>
      </c>
    </row>
    <row r="8" spans="1:5" ht="22.5" x14ac:dyDescent="0.45">
      <c r="A8" s="480"/>
      <c r="B8" s="317"/>
      <c r="C8" s="132"/>
      <c r="D8" s="19"/>
      <c r="E8" s="122">
        <f t="shared" si="0"/>
        <v>0</v>
      </c>
    </row>
    <row r="9" spans="1:5" ht="22.5" x14ac:dyDescent="0.45">
      <c r="A9" s="480"/>
      <c r="B9" s="20"/>
      <c r="C9" s="19"/>
      <c r="D9" s="19"/>
      <c r="E9" s="122">
        <f t="shared" si="0"/>
        <v>0</v>
      </c>
    </row>
    <row r="10" spans="1:5" ht="22.5" x14ac:dyDescent="0.45">
      <c r="A10" s="480"/>
      <c r="B10" s="20"/>
      <c r="C10" s="19"/>
      <c r="D10" s="19"/>
      <c r="E10" s="122">
        <f t="shared" si="0"/>
        <v>0</v>
      </c>
    </row>
    <row r="11" spans="1:5" ht="22.5" x14ac:dyDescent="0.45">
      <c r="A11" s="480"/>
      <c r="B11" s="20"/>
      <c r="C11" s="19"/>
      <c r="D11" s="19"/>
      <c r="E11" s="122">
        <f t="shared" si="0"/>
        <v>0</v>
      </c>
    </row>
    <row r="12" spans="1:5" ht="22.5" x14ac:dyDescent="0.45">
      <c r="A12" s="480"/>
      <c r="B12" s="20"/>
      <c r="C12" s="19"/>
      <c r="D12" s="19"/>
      <c r="E12" s="122">
        <f>D12*C12</f>
        <v>0</v>
      </c>
    </row>
    <row r="13" spans="1:5" ht="22.5" x14ac:dyDescent="0.45">
      <c r="A13" s="481" t="s">
        <v>88</v>
      </c>
      <c r="B13" s="35"/>
      <c r="C13" s="38"/>
      <c r="D13" s="19"/>
      <c r="E13" s="122">
        <f t="shared" si="0"/>
        <v>0</v>
      </c>
    </row>
    <row r="14" spans="1:5" ht="22.5" x14ac:dyDescent="0.45">
      <c r="A14" s="481"/>
      <c r="B14" s="35"/>
      <c r="C14" s="38"/>
      <c r="D14" s="19"/>
      <c r="E14" s="122">
        <f t="shared" si="0"/>
        <v>0</v>
      </c>
    </row>
    <row r="15" spans="1:5" ht="22.5" x14ac:dyDescent="0.45">
      <c r="A15" s="481"/>
      <c r="B15" s="20"/>
      <c r="C15" s="19"/>
      <c r="D15" s="19"/>
      <c r="E15" s="122">
        <f t="shared" si="0"/>
        <v>0</v>
      </c>
    </row>
    <row r="16" spans="1:5" ht="22.5" x14ac:dyDescent="0.45">
      <c r="A16" s="481"/>
      <c r="B16" s="20" t="s">
        <v>89</v>
      </c>
      <c r="C16" s="19"/>
      <c r="D16" s="19"/>
      <c r="E16" s="122">
        <f t="shared" si="0"/>
        <v>0</v>
      </c>
    </row>
    <row r="17" spans="1:5" ht="22.5" x14ac:dyDescent="0.45">
      <c r="A17" s="481"/>
      <c r="B17" s="20" t="s">
        <v>90</v>
      </c>
      <c r="C17" s="19"/>
      <c r="D17" s="19"/>
      <c r="E17" s="122">
        <f t="shared" si="0"/>
        <v>0</v>
      </c>
    </row>
    <row r="18" spans="1:5" ht="22.5" x14ac:dyDescent="0.45">
      <c r="A18" s="481"/>
      <c r="B18" s="36" t="s">
        <v>86</v>
      </c>
      <c r="C18" s="19"/>
      <c r="D18" s="19"/>
      <c r="E18" s="122">
        <f t="shared" si="0"/>
        <v>0</v>
      </c>
    </row>
    <row r="19" spans="1:5" ht="22.5" x14ac:dyDescent="0.45">
      <c r="A19" s="481"/>
      <c r="B19" s="36" t="s">
        <v>91</v>
      </c>
      <c r="C19" s="19"/>
      <c r="D19" s="19"/>
      <c r="E19" s="122">
        <f t="shared" si="0"/>
        <v>0</v>
      </c>
    </row>
    <row r="20" spans="1:5" ht="22.5" x14ac:dyDescent="0.45">
      <c r="A20" s="481"/>
      <c r="B20" s="36" t="s">
        <v>92</v>
      </c>
      <c r="C20" s="19"/>
      <c r="D20" s="19"/>
      <c r="E20" s="122">
        <f t="shared" si="0"/>
        <v>0</v>
      </c>
    </row>
    <row r="21" spans="1:5" ht="22.5" x14ac:dyDescent="0.45">
      <c r="A21" s="481"/>
      <c r="B21" s="36" t="s">
        <v>93</v>
      </c>
      <c r="C21" s="19"/>
      <c r="D21" s="19"/>
      <c r="E21" s="122">
        <f t="shared" si="0"/>
        <v>0</v>
      </c>
    </row>
    <row r="22" spans="1:5" ht="22.5" x14ac:dyDescent="0.45">
      <c r="A22" s="481"/>
      <c r="B22" s="36" t="s">
        <v>94</v>
      </c>
      <c r="C22" s="19"/>
      <c r="D22" s="19"/>
      <c r="E22" s="122">
        <f t="shared" si="0"/>
        <v>0</v>
      </c>
    </row>
    <row r="23" spans="1:5" ht="22.5" x14ac:dyDescent="0.45">
      <c r="A23" s="481"/>
      <c r="B23" s="36" t="s">
        <v>95</v>
      </c>
      <c r="C23" s="19"/>
      <c r="D23" s="19"/>
      <c r="E23" s="122">
        <f t="shared" si="0"/>
        <v>0</v>
      </c>
    </row>
    <row r="24" spans="1:5" ht="22.5" x14ac:dyDescent="0.45">
      <c r="A24" s="481"/>
      <c r="B24" s="36" t="s">
        <v>351</v>
      </c>
      <c r="C24" s="19"/>
      <c r="D24" s="19"/>
      <c r="E24" s="122">
        <f t="shared" si="0"/>
        <v>0</v>
      </c>
    </row>
    <row r="25" spans="1:5" ht="22.5" x14ac:dyDescent="0.45">
      <c r="A25" s="481"/>
      <c r="B25" s="36" t="s">
        <v>96</v>
      </c>
      <c r="C25" s="19"/>
      <c r="D25" s="19"/>
      <c r="E25" s="122">
        <f t="shared" si="0"/>
        <v>0</v>
      </c>
    </row>
    <row r="26" spans="1:5" ht="22.5" x14ac:dyDescent="0.45">
      <c r="A26" s="481"/>
      <c r="B26" s="36" t="s">
        <v>87</v>
      </c>
      <c r="C26" s="19"/>
      <c r="D26" s="19"/>
      <c r="E26" s="122">
        <f t="shared" si="0"/>
        <v>0</v>
      </c>
    </row>
    <row r="27" spans="1:5" ht="21.95" customHeight="1" x14ac:dyDescent="0.45">
      <c r="A27" s="482" t="s">
        <v>97</v>
      </c>
      <c r="B27" s="36" t="s">
        <v>98</v>
      </c>
      <c r="C27" s="19"/>
      <c r="D27" s="19"/>
      <c r="E27" s="122">
        <f t="shared" si="0"/>
        <v>0</v>
      </c>
    </row>
    <row r="28" spans="1:5" ht="22.5" x14ac:dyDescent="0.45">
      <c r="A28" s="483"/>
      <c r="B28" s="36" t="s">
        <v>99</v>
      </c>
      <c r="C28" s="19"/>
      <c r="D28" s="19"/>
      <c r="E28" s="122">
        <f t="shared" si="0"/>
        <v>0</v>
      </c>
    </row>
    <row r="29" spans="1:5" ht="22.5" x14ac:dyDescent="0.45">
      <c r="A29" s="483"/>
      <c r="B29" s="36" t="s">
        <v>100</v>
      </c>
      <c r="C29" s="19"/>
      <c r="D29" s="19"/>
      <c r="E29" s="122">
        <f t="shared" si="0"/>
        <v>0</v>
      </c>
    </row>
    <row r="30" spans="1:5" s="23" customFormat="1" ht="24.75" x14ac:dyDescent="0.5">
      <c r="A30" s="37"/>
      <c r="B30" s="21" t="s">
        <v>0</v>
      </c>
      <c r="C30" s="40"/>
      <c r="D30" s="40"/>
      <c r="E30" s="133">
        <f>SUM(E3:E29)</f>
        <v>0</v>
      </c>
    </row>
    <row r="31" spans="1:5" ht="17.25" x14ac:dyDescent="0.35">
      <c r="C31" s="41"/>
      <c r="D31" s="41"/>
      <c r="E31" s="41"/>
    </row>
    <row r="32" spans="1:5" ht="17.25" x14ac:dyDescent="0.35">
      <c r="C32" s="41"/>
      <c r="D32" s="41"/>
      <c r="E32" s="41"/>
    </row>
    <row r="33" spans="3:5" ht="17.25" x14ac:dyDescent="0.35">
      <c r="C33" s="41"/>
      <c r="D33" s="41"/>
      <c r="E33" s="41"/>
    </row>
    <row r="34" spans="3:5" ht="17.25" x14ac:dyDescent="0.35">
      <c r="C34" s="41"/>
      <c r="D34" s="41"/>
      <c r="E34" s="41"/>
    </row>
    <row r="35" spans="3:5" ht="17.25" x14ac:dyDescent="0.35">
      <c r="C35" s="41"/>
      <c r="D35" s="41"/>
      <c r="E35" s="41"/>
    </row>
  </sheetData>
  <sheetProtection algorithmName="SHA-512" hashValue="CXdjTjDwDWP/aYZDEyhHmzb8QPfwnIp4xycZZ3L2EUHa02H44QGLWZfmQ6BFFrdShafaKCTfId8fhMdKBQw3Lw==" saltValue="CQEztMnLr7XnWF4NTSGuBA==" spinCount="100000" sheet="1" formatCells="0" formatColumns="0" formatRows="0" insertColumns="0" insertRows="0" selectLockedCells="1"/>
  <mergeCells count="5">
    <mergeCell ref="A3:A12"/>
    <mergeCell ref="A13:A26"/>
    <mergeCell ref="A27:A29"/>
    <mergeCell ref="C1:E1"/>
    <mergeCell ref="A1:B2"/>
  </mergeCells>
  <pageMargins left="0.7" right="0.7" top="0.75" bottom="0.75" header="0.3" footer="0.3"/>
  <pageSetup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pane xSplit="1" ySplit="2" topLeftCell="B3" activePane="bottomRight" state="frozen"/>
      <selection activeCell="A16" sqref="A16"/>
      <selection pane="topRight" activeCell="A16" sqref="A16"/>
      <selection pane="bottomLeft" activeCell="A16" sqref="A16"/>
      <selection pane="bottomRight" activeCell="E2" sqref="E1:M1048576"/>
    </sheetView>
  </sheetViews>
  <sheetFormatPr defaultColWidth="8.7109375" defaultRowHeight="15" x14ac:dyDescent="0.25"/>
  <cols>
    <col min="1" max="1" width="36.85546875" style="2" bestFit="1" customWidth="1"/>
    <col min="2" max="2" width="5.5703125" style="2" bestFit="1" customWidth="1"/>
    <col min="3" max="3" width="11.5703125" style="2" bestFit="1" customWidth="1"/>
    <col min="4" max="4" width="15.28515625" style="2" bestFit="1" customWidth="1"/>
    <col min="5" max="16384" width="8.7109375" style="2"/>
  </cols>
  <sheetData>
    <row r="1" spans="1:4" s="236" customFormat="1" ht="23.25" customHeight="1" x14ac:dyDescent="0.4">
      <c r="A1" s="470" t="str">
        <f>'150.3.1.15'!A1:B2</f>
        <v>खर्च शिर्षक</v>
      </c>
      <c r="B1" s="471" t="str">
        <f>Home!C4</f>
        <v>आ.व. २०८२/०८३</v>
      </c>
      <c r="C1" s="471"/>
      <c r="D1" s="471"/>
    </row>
    <row r="2" spans="1:4" s="236" customFormat="1" ht="21.75" customHeight="1" x14ac:dyDescent="0.4">
      <c r="A2" s="470"/>
      <c r="B2" s="243" t="str">
        <f>'150.3.1.15'!C2</f>
        <v>लक्ष्य</v>
      </c>
      <c r="C2" s="243" t="str">
        <f>'150.3.1.15'!D2</f>
        <v>एकाई मूल्य</v>
      </c>
      <c r="D2" s="243" t="str">
        <f>'150.3.1.15'!E2</f>
        <v>जम्मा</v>
      </c>
    </row>
    <row r="3" spans="1:4" ht="45" x14ac:dyDescent="0.25">
      <c r="A3" s="26" t="s">
        <v>101</v>
      </c>
      <c r="B3" s="18">
        <v>1</v>
      </c>
      <c r="C3" s="17"/>
      <c r="D3" s="122">
        <f t="shared" ref="D3:D7" si="0">C3*B3</f>
        <v>0</v>
      </c>
    </row>
    <row r="4" spans="1:4" ht="22.5" x14ac:dyDescent="0.45">
      <c r="A4" s="16" t="s">
        <v>102</v>
      </c>
      <c r="B4" s="19">
        <v>1</v>
      </c>
      <c r="C4" s="13"/>
      <c r="D4" s="122">
        <f t="shared" si="0"/>
        <v>0</v>
      </c>
    </row>
    <row r="5" spans="1:4" ht="22.5" x14ac:dyDescent="0.45">
      <c r="A5" s="16" t="s">
        <v>192</v>
      </c>
      <c r="B5" s="19">
        <v>1</v>
      </c>
      <c r="C5" s="13"/>
      <c r="D5" s="122">
        <f t="shared" si="0"/>
        <v>0</v>
      </c>
    </row>
    <row r="6" spans="1:4" ht="22.5" x14ac:dyDescent="0.45">
      <c r="A6" s="24" t="s">
        <v>191</v>
      </c>
      <c r="B6" s="19">
        <v>1</v>
      </c>
      <c r="C6" s="13"/>
      <c r="D6" s="122">
        <f t="shared" si="0"/>
        <v>0</v>
      </c>
    </row>
    <row r="7" spans="1:4" ht="22.5" x14ac:dyDescent="0.45">
      <c r="A7" s="24" t="s">
        <v>103</v>
      </c>
      <c r="B7" s="19"/>
      <c r="C7" s="13"/>
      <c r="D7" s="122">
        <f t="shared" si="0"/>
        <v>0</v>
      </c>
    </row>
    <row r="8" spans="1:4" ht="24.75" x14ac:dyDescent="0.5">
      <c r="A8" s="21" t="s">
        <v>0</v>
      </c>
      <c r="B8" s="22"/>
      <c r="C8" s="22"/>
      <c r="D8" s="123">
        <f>SUM(D3:D7)</f>
        <v>0</v>
      </c>
    </row>
  </sheetData>
  <sheetProtection algorithmName="SHA-512" hashValue="x3G9282buqBPM8z7gUryyYv2XlSgbgrF9rLKPaNe0iFkNp0YbrcVc7VV6MX5/ssetrq+PW/TZmLPlsRprnMu/A==" saltValue="Tzo7+qRoXf0KsR8kkc8Q7g==" spinCount="100000" sheet="1" formatCells="0" formatColumns="0" formatRows="0" insertColumns="0" insertRows="0" selectLockedCells="1"/>
  <mergeCells count="2">
    <mergeCell ref="A1:A2"/>
    <mergeCell ref="B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zoomScale="150" zoomScaleNormal="150" workbookViewId="0">
      <selection activeCell="E3" sqref="E3"/>
    </sheetView>
  </sheetViews>
  <sheetFormatPr defaultColWidth="8.7109375" defaultRowHeight="15" x14ac:dyDescent="0.25"/>
  <cols>
    <col min="1" max="1" width="14.140625" style="2" bestFit="1" customWidth="1"/>
    <col min="2" max="2" width="14.85546875" style="2" bestFit="1" customWidth="1"/>
    <col min="3" max="3" width="9.42578125" style="2" bestFit="1" customWidth="1"/>
    <col min="4" max="4" width="15.140625" style="2" bestFit="1" customWidth="1"/>
    <col min="5" max="5" width="7.85546875" style="2" bestFit="1" customWidth="1"/>
    <col min="6" max="6" width="18.42578125" style="2" bestFit="1" customWidth="1"/>
    <col min="7" max="16384" width="8.7109375" style="2"/>
  </cols>
  <sheetData>
    <row r="1" spans="1:6" ht="15.75" thickBot="1" x14ac:dyDescent="0.3"/>
    <row r="2" spans="1:6" s="178" customFormat="1" ht="24" thickBot="1" x14ac:dyDescent="0.55000000000000004">
      <c r="A2" s="177" t="s">
        <v>195</v>
      </c>
      <c r="B2" s="254" t="str">
        <f>Home!A4</f>
        <v>हालको अवस्था</v>
      </c>
      <c r="C2" s="177" t="s">
        <v>196</v>
      </c>
      <c r="D2" s="254" t="str">
        <f>Home!B4</f>
        <v>असार मसान्तको</v>
      </c>
      <c r="E2" s="177" t="s">
        <v>196</v>
      </c>
      <c r="F2" s="254" t="str">
        <f>Home!C4</f>
        <v>आ.व. २०८२/०८३</v>
      </c>
    </row>
    <row r="3" spans="1:6" s="52" customFormat="1" ht="20.25" x14ac:dyDescent="0.4">
      <c r="A3" s="53" t="s">
        <v>193</v>
      </c>
      <c r="B3" s="322">
        <v>3000</v>
      </c>
      <c r="C3" s="375">
        <v>5.0000000000000001E-3</v>
      </c>
      <c r="D3" s="255">
        <f>ROUND(B3+B3*C3,0)</f>
        <v>3015</v>
      </c>
      <c r="E3" s="54">
        <v>0.08</v>
      </c>
      <c r="F3" s="255">
        <f>ROUND(D3+D3*E3,0)</f>
        <v>3256</v>
      </c>
    </row>
    <row r="4" spans="1:6" s="52" customFormat="1" ht="20.25" x14ac:dyDescent="0.4">
      <c r="A4" s="53" t="s">
        <v>194</v>
      </c>
      <c r="B4" s="55"/>
      <c r="C4" s="55"/>
      <c r="D4" s="255">
        <f>D3-B3</f>
        <v>15</v>
      </c>
      <c r="E4" s="54"/>
      <c r="F4" s="255">
        <f>F3-D3</f>
        <v>241</v>
      </c>
    </row>
  </sheetData>
  <sheetProtection formatCells="0" formatColumns="0" formatRows="0" insertColumns="0" insertRows="0" selectLockedCells="1"/>
  <pageMargins left="0.7" right="0.7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pane xSplit="1" ySplit="2" topLeftCell="B3" activePane="bottomRight" state="frozen"/>
      <selection activeCell="A16" sqref="A16"/>
      <selection pane="topRight" activeCell="A16" sqref="A16"/>
      <selection pane="bottomLeft" activeCell="A16" sqref="A16"/>
      <selection pane="bottomRight" activeCell="E1" sqref="E1"/>
    </sheetView>
  </sheetViews>
  <sheetFormatPr defaultColWidth="8.7109375" defaultRowHeight="15" x14ac:dyDescent="0.25"/>
  <cols>
    <col min="1" max="1" width="31.140625" style="2" bestFit="1" customWidth="1"/>
    <col min="2" max="2" width="5.5703125" style="2" bestFit="1" customWidth="1"/>
    <col min="3" max="3" width="11.5703125" style="2" bestFit="1" customWidth="1"/>
    <col min="4" max="4" width="12.85546875" style="2" bestFit="1" customWidth="1"/>
    <col min="5" max="16384" width="8.7109375" style="2"/>
  </cols>
  <sheetData>
    <row r="1" spans="1:4" s="236" customFormat="1" ht="23.25" customHeight="1" x14ac:dyDescent="0.4">
      <c r="A1" s="472" t="str">
        <f>'150.3.1.16'!A1:A2</f>
        <v>खर्च शिर्षक</v>
      </c>
      <c r="B1" s="449" t="str">
        <f>Home!C4</f>
        <v>आ.व. २०८२/०८३</v>
      </c>
      <c r="C1" s="450"/>
      <c r="D1" s="451"/>
    </row>
    <row r="2" spans="1:4" s="236" customFormat="1" ht="21.75" customHeight="1" x14ac:dyDescent="0.4">
      <c r="A2" s="473"/>
      <c r="B2" s="243" t="str">
        <f>'150.3.1.16'!B2</f>
        <v>लक्ष्य</v>
      </c>
      <c r="C2" s="243" t="str">
        <f>'150.3.1.16'!C2</f>
        <v>एकाई मूल्य</v>
      </c>
      <c r="D2" s="243" t="str">
        <f>'150.3.1.16'!D2</f>
        <v>जम्मा</v>
      </c>
    </row>
    <row r="3" spans="1:4" ht="22.5" x14ac:dyDescent="0.25">
      <c r="A3" s="26" t="s">
        <v>104</v>
      </c>
      <c r="B3" s="18"/>
      <c r="C3" s="17"/>
      <c r="D3" s="122">
        <f t="shared" ref="D3:D7" si="0">C3*B3</f>
        <v>0</v>
      </c>
    </row>
    <row r="4" spans="1:4" ht="22.5" x14ac:dyDescent="0.45">
      <c r="A4" s="16" t="s">
        <v>105</v>
      </c>
      <c r="B4" s="19">
        <v>25</v>
      </c>
      <c r="C4" s="13"/>
      <c r="D4" s="122">
        <f t="shared" si="0"/>
        <v>0</v>
      </c>
    </row>
    <row r="5" spans="1:4" ht="22.5" x14ac:dyDescent="0.45">
      <c r="A5" s="16" t="s">
        <v>108</v>
      </c>
      <c r="B5" s="19">
        <v>5</v>
      </c>
      <c r="C5" s="13"/>
      <c r="D5" s="122">
        <f t="shared" si="0"/>
        <v>0</v>
      </c>
    </row>
    <row r="6" spans="1:4" ht="22.5" x14ac:dyDescent="0.45">
      <c r="A6" s="16" t="s">
        <v>106</v>
      </c>
      <c r="B6" s="19"/>
      <c r="C6" s="13"/>
      <c r="D6" s="122">
        <f t="shared" si="0"/>
        <v>0</v>
      </c>
    </row>
    <row r="7" spans="1:4" ht="22.5" x14ac:dyDescent="0.45">
      <c r="A7" s="24" t="s">
        <v>107</v>
      </c>
      <c r="B7" s="19"/>
      <c r="C7" s="13"/>
      <c r="D7" s="122">
        <f t="shared" si="0"/>
        <v>0</v>
      </c>
    </row>
    <row r="8" spans="1:4" ht="24.75" x14ac:dyDescent="0.5">
      <c r="A8" s="21" t="s">
        <v>0</v>
      </c>
      <c r="B8" s="22"/>
      <c r="C8" s="22"/>
      <c r="D8" s="123">
        <f>SUM(D3:D7)</f>
        <v>0</v>
      </c>
    </row>
  </sheetData>
  <sheetProtection algorithmName="SHA-512" hashValue="L+7NFgALoRgoExM0LoOL3Id2dsm23hoBmbGUdc6GPEMq7IuauDQQ495knuz/FJOYdMJL1uIh2Vpu+jb6LAZoYQ==" saltValue="N45p1v97k+O0G3+BMyut0w==" spinCount="100000" sheet="1" formatCells="0" formatColumns="0" formatRows="0" insertColumns="0" insertRows="0" selectLockedCells="1"/>
  <mergeCells count="2">
    <mergeCell ref="A1:A2"/>
    <mergeCell ref="B1:D1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2"/>
  <sheetViews>
    <sheetView workbookViewId="0">
      <pane xSplit="1" ySplit="2" topLeftCell="B3" activePane="bottomRight" state="frozen"/>
      <selection activeCell="A16" sqref="A16"/>
      <selection pane="topRight" activeCell="A16" sqref="A16"/>
      <selection pane="bottomLeft" activeCell="A16" sqref="A16"/>
      <selection pane="bottomRight" activeCell="E12" sqref="E12"/>
    </sheetView>
  </sheetViews>
  <sheetFormatPr defaultColWidth="8.7109375" defaultRowHeight="15" x14ac:dyDescent="0.25"/>
  <cols>
    <col min="1" max="1" width="21.85546875" style="2" bestFit="1" customWidth="1"/>
    <col min="2" max="2" width="12.85546875" style="2" bestFit="1" customWidth="1"/>
    <col min="3" max="3" width="13.7109375" style="2" bestFit="1" customWidth="1"/>
    <col min="4" max="4" width="19.140625" style="2" bestFit="1" customWidth="1"/>
    <col min="5" max="16384" width="8.7109375" style="2"/>
  </cols>
  <sheetData>
    <row r="1" spans="1:4" s="194" customFormat="1" ht="21" customHeight="1" x14ac:dyDescent="0.3">
      <c r="A1" s="474" t="str">
        <f>'150.3.1.17'!A1:A2</f>
        <v>खर्च शिर्षक</v>
      </c>
      <c r="B1" s="467" t="str">
        <f>Home!C4</f>
        <v>आ.व. २०८२/०८३</v>
      </c>
      <c r="C1" s="467"/>
      <c r="D1" s="467"/>
    </row>
    <row r="2" spans="1:4" s="194" customFormat="1" ht="24.75" customHeight="1" x14ac:dyDescent="0.3">
      <c r="A2" s="474"/>
      <c r="B2" s="316" t="str">
        <f>'150.3.1.17'!B2</f>
        <v>लक्ष्य</v>
      </c>
      <c r="C2" s="316" t="str">
        <f>'150.3.1.17'!C2</f>
        <v>एकाई मूल्य</v>
      </c>
      <c r="D2" s="316" t="str">
        <f>'150.3.1.17'!D2</f>
        <v>जम्मा</v>
      </c>
    </row>
    <row r="3" spans="1:4" ht="22.5" x14ac:dyDescent="0.25">
      <c r="A3" s="20" t="s">
        <v>109</v>
      </c>
      <c r="B3" s="131">
        <f>'Member Projection sheet '!F3*80%</f>
        <v>2604.8000000000002</v>
      </c>
      <c r="C3" s="17">
        <v>500</v>
      </c>
      <c r="D3" s="122">
        <f>C3*B3</f>
        <v>1302400</v>
      </c>
    </row>
    <row r="4" spans="1:4" ht="22.5" x14ac:dyDescent="0.45">
      <c r="A4" s="20" t="s">
        <v>110</v>
      </c>
      <c r="B4" s="132">
        <v>2000</v>
      </c>
      <c r="C4" s="13">
        <v>55</v>
      </c>
      <c r="D4" s="122">
        <f t="shared" ref="D4:D11" si="0">C4*B4</f>
        <v>110000</v>
      </c>
    </row>
    <row r="5" spans="1:4" ht="22.5" x14ac:dyDescent="0.45">
      <c r="A5" s="20" t="s">
        <v>115</v>
      </c>
      <c r="B5" s="19">
        <v>1</v>
      </c>
      <c r="C5" s="13">
        <v>20000</v>
      </c>
      <c r="D5" s="122">
        <f t="shared" si="0"/>
        <v>20000</v>
      </c>
    </row>
    <row r="6" spans="1:4" ht="22.5" x14ac:dyDescent="0.45">
      <c r="A6" s="20" t="s">
        <v>111</v>
      </c>
      <c r="B6" s="19">
        <v>1</v>
      </c>
      <c r="C6" s="13">
        <v>45000</v>
      </c>
      <c r="D6" s="122">
        <f t="shared" si="0"/>
        <v>45000</v>
      </c>
    </row>
    <row r="7" spans="1:4" ht="22.5" x14ac:dyDescent="0.45">
      <c r="A7" s="20" t="s">
        <v>112</v>
      </c>
      <c r="B7" s="19">
        <v>1</v>
      </c>
      <c r="C7" s="13">
        <v>25000</v>
      </c>
      <c r="D7" s="122">
        <f t="shared" si="0"/>
        <v>25000</v>
      </c>
    </row>
    <row r="8" spans="1:4" ht="22.5" x14ac:dyDescent="0.45">
      <c r="A8" s="20" t="s">
        <v>113</v>
      </c>
      <c r="B8" s="19">
        <v>1</v>
      </c>
      <c r="C8" s="13"/>
      <c r="D8" s="122">
        <f t="shared" si="0"/>
        <v>0</v>
      </c>
    </row>
    <row r="9" spans="1:4" ht="22.5" x14ac:dyDescent="0.45">
      <c r="A9" s="20" t="s">
        <v>114</v>
      </c>
      <c r="B9" s="19">
        <v>1</v>
      </c>
      <c r="C9" s="13"/>
      <c r="D9" s="122">
        <f t="shared" si="0"/>
        <v>0</v>
      </c>
    </row>
    <row r="10" spans="1:4" ht="22.5" x14ac:dyDescent="0.45">
      <c r="A10" s="20" t="s">
        <v>116</v>
      </c>
      <c r="B10" s="132">
        <f>4*100</f>
        <v>400</v>
      </c>
      <c r="C10" s="13"/>
      <c r="D10" s="122">
        <f t="shared" si="0"/>
        <v>0</v>
      </c>
    </row>
    <row r="11" spans="1:4" ht="22.5" x14ac:dyDescent="0.45">
      <c r="A11" s="16" t="s">
        <v>2</v>
      </c>
      <c r="B11" s="19">
        <v>1</v>
      </c>
      <c r="C11" s="13"/>
      <c r="D11" s="122">
        <f t="shared" si="0"/>
        <v>0</v>
      </c>
    </row>
    <row r="12" spans="1:4" ht="24.75" x14ac:dyDescent="0.5">
      <c r="A12" s="21" t="s">
        <v>0</v>
      </c>
      <c r="B12" s="22"/>
      <c r="C12" s="22"/>
      <c r="D12" s="123">
        <f>SUM(D3:D11)</f>
        <v>1502400</v>
      </c>
    </row>
  </sheetData>
  <sheetProtection algorithmName="SHA-512" hashValue="Zj8+X3gkVhXSGxdGz6PmqxC69MbMpGh/qSUm/P5gRGwbtYm6Ro//hVrjOxIpCpHMjE70UcKlBuTlmCb4VQNkqw==" saltValue="CESbCC2jIpfPjmsi1ApIlQ==" spinCount="100000" sheet="1" formatCells="0" formatColumns="0" formatRows="0" insertColumns="0" insertRows="0" selectLockedCells="1"/>
  <mergeCells count="2">
    <mergeCell ref="A1:A2"/>
    <mergeCell ref="B1:D1"/>
  </mergeCells>
  <pageMargins left="0.7" right="0.7" top="0.75" bottom="0.75" header="0.3" footer="0.3"/>
  <legacy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pane xSplit="1" ySplit="2" topLeftCell="B3" activePane="bottomRight" state="frozen"/>
      <selection activeCell="A16" sqref="A16"/>
      <selection pane="topRight" activeCell="A16" sqref="A16"/>
      <selection pane="bottomLeft" activeCell="A16" sqref="A16"/>
      <selection pane="bottomRight" activeCell="H12" sqref="H12"/>
    </sheetView>
  </sheetViews>
  <sheetFormatPr defaultColWidth="8.7109375" defaultRowHeight="15" x14ac:dyDescent="0.25"/>
  <cols>
    <col min="1" max="1" width="30.7109375" style="2" bestFit="1" customWidth="1"/>
    <col min="2" max="2" width="5.5703125" style="2" bestFit="1" customWidth="1"/>
    <col min="3" max="3" width="11.5703125" style="2" bestFit="1" customWidth="1"/>
    <col min="4" max="4" width="6.28515625" style="2" bestFit="1" customWidth="1"/>
    <col min="5" max="16384" width="8.7109375" style="2"/>
  </cols>
  <sheetData>
    <row r="1" spans="1:4" s="236" customFormat="1" ht="23.25" customHeight="1" x14ac:dyDescent="0.4">
      <c r="A1" s="470" t="str">
        <f>'150.3.1.18'!A1:A2</f>
        <v>खर्च शिर्षक</v>
      </c>
      <c r="B1" s="471" t="str">
        <f>Home!C4</f>
        <v>आ.व. २०८२/०८३</v>
      </c>
      <c r="C1" s="471"/>
      <c r="D1" s="471"/>
    </row>
    <row r="2" spans="1:4" s="236" customFormat="1" ht="21.75" customHeight="1" x14ac:dyDescent="0.4">
      <c r="A2" s="470"/>
      <c r="B2" s="243" t="str">
        <f>'150.3.1.18'!B2</f>
        <v>लक्ष्य</v>
      </c>
      <c r="C2" s="243" t="str">
        <f>'150.3.1.18'!C2</f>
        <v>एकाई मूल्य</v>
      </c>
      <c r="D2" s="243" t="str">
        <f>'150.3.1.18'!D2</f>
        <v>जम्मा</v>
      </c>
    </row>
    <row r="3" spans="1:4" ht="22.5" x14ac:dyDescent="0.25">
      <c r="A3" s="20" t="s">
        <v>117</v>
      </c>
      <c r="B3" s="18"/>
      <c r="C3" s="17"/>
      <c r="D3" s="122">
        <f t="shared" ref="D3:D4" si="0">C3*B3</f>
        <v>0</v>
      </c>
    </row>
    <row r="4" spans="1:4" ht="22.5" x14ac:dyDescent="0.45">
      <c r="A4" s="16" t="s">
        <v>2</v>
      </c>
      <c r="B4" s="19"/>
      <c r="C4" s="13"/>
      <c r="D4" s="122">
        <f t="shared" si="0"/>
        <v>0</v>
      </c>
    </row>
    <row r="5" spans="1:4" ht="24.75" x14ac:dyDescent="0.5">
      <c r="A5" s="21" t="s">
        <v>0</v>
      </c>
      <c r="B5" s="22"/>
      <c r="C5" s="22"/>
      <c r="D5" s="123">
        <f>SUM(D3:D4)</f>
        <v>0</v>
      </c>
    </row>
    <row r="6" spans="1:4" x14ac:dyDescent="0.25">
      <c r="D6"/>
    </row>
    <row r="7" spans="1:4" x14ac:dyDescent="0.25">
      <c r="D7"/>
    </row>
    <row r="8" spans="1:4" x14ac:dyDescent="0.25">
      <c r="D8"/>
    </row>
  </sheetData>
  <sheetProtection algorithmName="SHA-512" hashValue="VkewS415lWQcMLBbeJoyWH8YFmH1dAjKdteOrOg1852CwlH13N+rsi3ecWyh2D3CnaLCtucz/MgwfgI8USPu8A==" saltValue="h+jGFvo8tsXoZPIy3NVukg==" spinCount="100000" sheet="1" formatCells="0" formatColumns="0" formatRows="0" insertColumns="0" insertRows="0" selectLockedCells="1"/>
  <mergeCells count="2">
    <mergeCell ref="A1:A2"/>
    <mergeCell ref="B1:D1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D10"/>
  <sheetViews>
    <sheetView workbookViewId="0">
      <pane xSplit="1" ySplit="2" topLeftCell="B3" activePane="bottomRight" state="frozen"/>
      <selection activeCell="A16" sqref="A16"/>
      <selection pane="topRight" activeCell="A16" sqref="A16"/>
      <selection pane="bottomLeft" activeCell="A16" sqref="A16"/>
      <selection pane="bottomRight" activeCell="E12" sqref="E12"/>
    </sheetView>
  </sheetViews>
  <sheetFormatPr defaultColWidth="8.7109375" defaultRowHeight="15" x14ac:dyDescent="0.25"/>
  <cols>
    <col min="1" max="1" width="33.42578125" style="2" bestFit="1" customWidth="1"/>
    <col min="2" max="2" width="5.5703125" style="2" bestFit="1" customWidth="1"/>
    <col min="3" max="3" width="11.5703125" style="2" bestFit="1" customWidth="1"/>
    <col min="4" max="4" width="14.140625" style="2" bestFit="1" customWidth="1"/>
    <col min="5" max="16384" width="8.7109375" style="2"/>
  </cols>
  <sheetData>
    <row r="1" spans="1:4" s="194" customFormat="1" ht="23.25" customHeight="1" x14ac:dyDescent="0.3">
      <c r="A1" s="470" t="str">
        <f>'150.3.1.19'!A1:A2</f>
        <v>खर्च शिर्षक</v>
      </c>
      <c r="B1" s="471" t="str">
        <f>Home!C4</f>
        <v>आ.व. २०८२/०८३</v>
      </c>
      <c r="C1" s="471"/>
      <c r="D1" s="471"/>
    </row>
    <row r="2" spans="1:4" s="194" customFormat="1" ht="21.75" customHeight="1" x14ac:dyDescent="0.3">
      <c r="A2" s="470"/>
      <c r="B2" s="243" t="str">
        <f>'150.3.1.19'!B2</f>
        <v>लक्ष्य</v>
      </c>
      <c r="C2" s="243" t="str">
        <f>'150.3.1.19'!C2</f>
        <v>एकाई मूल्य</v>
      </c>
      <c r="D2" s="243" t="str">
        <f>'150.3.1.19'!D2</f>
        <v>जम्मा</v>
      </c>
    </row>
    <row r="3" spans="1:4" ht="22.5" x14ac:dyDescent="0.25">
      <c r="A3" s="20" t="s">
        <v>118</v>
      </c>
      <c r="B3" s="18">
        <v>1</v>
      </c>
      <c r="C3" s="17"/>
      <c r="D3" s="122">
        <f t="shared" ref="D3:D9" si="0">C3*B3</f>
        <v>0</v>
      </c>
    </row>
    <row r="4" spans="1:4" ht="22.5" x14ac:dyDescent="0.25">
      <c r="A4" s="24" t="s">
        <v>119</v>
      </c>
      <c r="B4" s="18">
        <v>1</v>
      </c>
      <c r="C4" s="17"/>
      <c r="D4" s="122">
        <f t="shared" si="0"/>
        <v>0</v>
      </c>
    </row>
    <row r="5" spans="1:4" ht="22.5" x14ac:dyDescent="0.25">
      <c r="A5" s="24" t="s">
        <v>120</v>
      </c>
      <c r="B5" s="18">
        <v>1</v>
      </c>
      <c r="C5" s="17"/>
      <c r="D5" s="122">
        <f t="shared" si="0"/>
        <v>0</v>
      </c>
    </row>
    <row r="6" spans="1:4" ht="22.5" x14ac:dyDescent="0.25">
      <c r="A6" s="24" t="s">
        <v>121</v>
      </c>
      <c r="B6" s="18">
        <v>1</v>
      </c>
      <c r="C6" s="17"/>
      <c r="D6" s="122">
        <f t="shared" si="0"/>
        <v>0</v>
      </c>
    </row>
    <row r="7" spans="1:4" ht="22.5" x14ac:dyDescent="0.25">
      <c r="A7" s="24" t="s">
        <v>183</v>
      </c>
      <c r="B7" s="18"/>
      <c r="C7" s="17"/>
      <c r="D7" s="122">
        <f t="shared" si="0"/>
        <v>0</v>
      </c>
    </row>
    <row r="8" spans="1:4" ht="22.5" x14ac:dyDescent="0.25">
      <c r="A8" s="24" t="s">
        <v>122</v>
      </c>
      <c r="B8" s="18">
        <v>1</v>
      </c>
      <c r="C8" s="17"/>
      <c r="D8" s="122">
        <f t="shared" si="0"/>
        <v>0</v>
      </c>
    </row>
    <row r="9" spans="1:4" ht="22.5" x14ac:dyDescent="0.25">
      <c r="A9" s="24" t="s">
        <v>123</v>
      </c>
      <c r="B9" s="18">
        <v>1</v>
      </c>
      <c r="C9" s="17"/>
      <c r="D9" s="122">
        <f t="shared" si="0"/>
        <v>0</v>
      </c>
    </row>
    <row r="10" spans="1:4" ht="24.75" x14ac:dyDescent="0.5">
      <c r="A10" s="21" t="s">
        <v>0</v>
      </c>
      <c r="B10" s="22"/>
      <c r="C10" s="22"/>
      <c r="D10" s="123">
        <f>SUM(D3:D9)</f>
        <v>0</v>
      </c>
    </row>
  </sheetData>
  <sheetProtection algorithmName="SHA-512" hashValue="Hexr5aFibZ7BRjLp8lXi0LPlTVBsTWe5HgrscSTzbLAPwmbDkoYciuSvGD6J/vXd2I2Np9hOOPLqw9lnZzeJ/A==" saltValue="O5KaAfiCY0BcwY6tBRIKpA==" spinCount="100000" sheet="1" formatCells="0" formatColumns="0" formatRows="0" insertColumns="0" insertRows="0" selectLockedCells="1"/>
  <mergeCells count="2">
    <mergeCell ref="A1:A2"/>
    <mergeCell ref="B1:D1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sqref="A1:A2"/>
    </sheetView>
  </sheetViews>
  <sheetFormatPr defaultColWidth="8.7109375" defaultRowHeight="15" x14ac:dyDescent="0.25"/>
  <cols>
    <col min="1" max="1" width="46.85546875" style="2" bestFit="1" customWidth="1"/>
    <col min="2" max="2" width="4.28515625" style="2" bestFit="1" customWidth="1"/>
    <col min="3" max="3" width="11.5703125" style="2" bestFit="1" customWidth="1"/>
    <col min="4" max="4" width="14.140625" style="2" bestFit="1" customWidth="1"/>
    <col min="5" max="16384" width="8.7109375" style="2"/>
  </cols>
  <sheetData>
    <row r="1" spans="1:4" s="236" customFormat="1" ht="23.25" x14ac:dyDescent="0.4">
      <c r="A1" s="488" t="str">
        <f>'150.3.1.20'!A1:A2</f>
        <v>खर्च शिर्षक</v>
      </c>
      <c r="B1" s="471" t="str">
        <f>Home!C4</f>
        <v>आ.व. २०८२/०८३</v>
      </c>
      <c r="C1" s="471"/>
      <c r="D1" s="471"/>
    </row>
    <row r="2" spans="1:4" s="236" customFormat="1" ht="21.75" customHeight="1" x14ac:dyDescent="0.4">
      <c r="A2" s="488"/>
      <c r="B2" s="230" t="str">
        <f>'150.3.1.20'!B2</f>
        <v>लक्ष्य</v>
      </c>
      <c r="C2" s="230" t="str">
        <f>'150.3.1.20'!C2</f>
        <v>एकाई मूल्य</v>
      </c>
      <c r="D2" s="230" t="str">
        <f>'150.3.1.20'!D2</f>
        <v>जम्मा</v>
      </c>
    </row>
    <row r="3" spans="1:4" ht="22.5" x14ac:dyDescent="0.25">
      <c r="A3" s="20" t="s">
        <v>124</v>
      </c>
      <c r="B3" s="18"/>
      <c r="C3" s="17"/>
      <c r="D3" s="122">
        <f t="shared" ref="D3:D6" si="0">C3*B3</f>
        <v>0</v>
      </c>
    </row>
    <row r="4" spans="1:4" ht="22.5" x14ac:dyDescent="0.25">
      <c r="A4" s="24" t="s">
        <v>125</v>
      </c>
      <c r="B4" s="18">
        <v>1</v>
      </c>
      <c r="C4" s="17"/>
      <c r="D4" s="122">
        <f t="shared" si="0"/>
        <v>0</v>
      </c>
    </row>
    <row r="5" spans="1:4" ht="22.5" x14ac:dyDescent="0.25">
      <c r="A5" s="24" t="s">
        <v>126</v>
      </c>
      <c r="B5" s="18"/>
      <c r="C5" s="17"/>
      <c r="D5" s="122">
        <f t="shared" si="0"/>
        <v>0</v>
      </c>
    </row>
    <row r="6" spans="1:4" ht="22.5" x14ac:dyDescent="0.25">
      <c r="A6" s="24"/>
      <c r="B6" s="18"/>
      <c r="C6" s="17"/>
      <c r="D6" s="122">
        <f t="shared" si="0"/>
        <v>0</v>
      </c>
    </row>
    <row r="7" spans="1:4" ht="24.75" x14ac:dyDescent="0.5">
      <c r="A7" s="21" t="s">
        <v>0</v>
      </c>
      <c r="B7" s="22"/>
      <c r="C7" s="22"/>
      <c r="D7" s="123">
        <f>SUM(D3:D6)</f>
        <v>0</v>
      </c>
    </row>
  </sheetData>
  <sheetProtection algorithmName="SHA-512" hashValue="Jv5rYwDuG/NtqNthMtMFpFT7DsDW5So2bnw+ssuaueqQkgIVFwn0B+aFaHDRXDfNITRsTDe0QiJLcL6Vl3bBDQ==" saltValue="ufRdWWBH5DuP+qa6K2P84w==" spinCount="100000" sheet="1" formatCells="0" formatColumns="0" formatRows="0" insertColumns="0" insertRows="0" selectLockedCells="1"/>
  <mergeCells count="2">
    <mergeCell ref="A1:A2"/>
    <mergeCell ref="B1:D1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pane xSplit="1" ySplit="2" topLeftCell="B3" activePane="bottomRight" state="frozen"/>
      <selection activeCell="B7" sqref="B7:C7"/>
      <selection pane="topRight" activeCell="B7" sqref="B7:C7"/>
      <selection pane="bottomLeft" activeCell="B7" sqref="B7:C7"/>
      <selection pane="bottomRight" activeCell="E9" sqref="E9"/>
    </sheetView>
  </sheetViews>
  <sheetFormatPr defaultColWidth="8.7109375" defaultRowHeight="15" x14ac:dyDescent="0.25"/>
  <cols>
    <col min="1" max="1" width="22.42578125" style="2" bestFit="1" customWidth="1"/>
    <col min="2" max="2" width="5.5703125" style="2" bestFit="1" customWidth="1"/>
    <col min="3" max="3" width="11.5703125" style="2" bestFit="1" customWidth="1"/>
    <col min="4" max="4" width="15.28515625" style="2" bestFit="1" customWidth="1"/>
    <col min="5" max="16384" width="8.7109375" style="2"/>
  </cols>
  <sheetData>
    <row r="1" spans="1:4" s="236" customFormat="1" ht="23.25" x14ac:dyDescent="0.4">
      <c r="A1" s="488" t="str">
        <f>'150.3.1.21'!A1:A2</f>
        <v>खर्च शिर्षक</v>
      </c>
      <c r="B1" s="471" t="str">
        <f>Home!C4</f>
        <v>आ.व. २०८२/०८३</v>
      </c>
      <c r="C1" s="471"/>
      <c r="D1" s="471"/>
    </row>
    <row r="2" spans="1:4" s="236" customFormat="1" ht="21.75" customHeight="1" x14ac:dyDescent="0.4">
      <c r="A2" s="488"/>
      <c r="B2" s="230" t="str">
        <f>'150.3.1.21'!B2</f>
        <v>लक्ष्य</v>
      </c>
      <c r="C2" s="230" t="str">
        <f>'150.3.1.21'!C2</f>
        <v>एकाई मूल्य</v>
      </c>
      <c r="D2" s="230" t="str">
        <f>'150.3.1.21'!D2</f>
        <v>जम्मा</v>
      </c>
    </row>
    <row r="3" spans="1:4" ht="22.5" x14ac:dyDescent="0.25">
      <c r="A3" s="20" t="s">
        <v>127</v>
      </c>
      <c r="B3" s="18">
        <v>12</v>
      </c>
      <c r="C3" s="17"/>
      <c r="D3" s="122">
        <f t="shared" ref="D3:D5" si="0">C3*B3</f>
        <v>0</v>
      </c>
    </row>
    <row r="4" spans="1:4" ht="22.5" x14ac:dyDescent="0.25">
      <c r="A4" s="24" t="s">
        <v>128</v>
      </c>
      <c r="B4" s="18">
        <v>12</v>
      </c>
      <c r="C4" s="17"/>
      <c r="D4" s="122">
        <f t="shared" si="0"/>
        <v>0</v>
      </c>
    </row>
    <row r="5" spans="1:4" ht="22.5" x14ac:dyDescent="0.25">
      <c r="A5" s="24"/>
      <c r="B5" s="18"/>
      <c r="C5" s="17"/>
      <c r="D5" s="122">
        <f t="shared" si="0"/>
        <v>0</v>
      </c>
    </row>
    <row r="6" spans="1:4" ht="24.75" x14ac:dyDescent="0.5">
      <c r="A6" s="21" t="s">
        <v>0</v>
      </c>
      <c r="B6" s="22"/>
      <c r="C6" s="22"/>
      <c r="D6" s="123">
        <f>SUM(D3:D5)</f>
        <v>0</v>
      </c>
    </row>
  </sheetData>
  <sheetProtection algorithmName="SHA-512" hashValue="ORSwXtOoQPxnWaaYzXNoUGC77Vx+AHrHdrbo8c9eD70KqgVLObeBEt8wMH66leEuVjoOoTNu38F3h1JKs35doQ==" saltValue="79teTpvPNzd/lZthhgdMrA==" spinCount="100000" sheet="1" formatCells="0" formatColumns="0" formatRows="0" insertColumns="0" insertRows="0" selectLockedCells="1"/>
  <mergeCells count="2">
    <mergeCell ref="A1:A2"/>
    <mergeCell ref="B1:D1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D7"/>
  <sheetViews>
    <sheetView workbookViewId="0">
      <selection sqref="A1:A2"/>
    </sheetView>
  </sheetViews>
  <sheetFormatPr defaultRowHeight="15" x14ac:dyDescent="0.25"/>
  <cols>
    <col min="1" max="1" width="32" bestFit="1" customWidth="1"/>
    <col min="2" max="2" width="5.5703125" bestFit="1" customWidth="1"/>
    <col min="3" max="3" width="11.5703125" bestFit="1" customWidth="1"/>
    <col min="4" max="4" width="6.28515625" bestFit="1" customWidth="1"/>
  </cols>
  <sheetData>
    <row r="1" spans="1:4" s="240" customFormat="1" ht="23.25" x14ac:dyDescent="0.4">
      <c r="A1" s="488" t="str">
        <f>'150.3.1.22'!A1:A2</f>
        <v>खर्च शिर्षक</v>
      </c>
      <c r="B1" s="471" t="str">
        <f>Home!C4</f>
        <v>आ.व. २०८२/०८३</v>
      </c>
      <c r="C1" s="471"/>
      <c r="D1" s="471"/>
    </row>
    <row r="2" spans="1:4" s="240" customFormat="1" ht="21.75" customHeight="1" x14ac:dyDescent="0.4">
      <c r="A2" s="488"/>
      <c r="B2" s="230" t="str">
        <f>'150.3.1.22'!B2</f>
        <v>लक्ष्य</v>
      </c>
      <c r="C2" s="230" t="str">
        <f>'150.3.1.22'!C2</f>
        <v>एकाई मूल्य</v>
      </c>
      <c r="D2" s="230" t="str">
        <f>'150.3.1.22'!D2</f>
        <v>जम्मा</v>
      </c>
    </row>
    <row r="3" spans="1:4" ht="22.5" x14ac:dyDescent="0.25">
      <c r="A3" s="16" t="s">
        <v>129</v>
      </c>
      <c r="B3" s="18"/>
      <c r="C3" s="17"/>
      <c r="D3" s="122">
        <f t="shared" ref="D3:D6" si="0">C3*B3</f>
        <v>0</v>
      </c>
    </row>
    <row r="4" spans="1:4" ht="22.5" x14ac:dyDescent="0.25">
      <c r="A4" s="16" t="s">
        <v>130</v>
      </c>
      <c r="B4" s="18"/>
      <c r="C4" s="17"/>
      <c r="D4" s="122">
        <f t="shared" si="0"/>
        <v>0</v>
      </c>
    </row>
    <row r="5" spans="1:4" ht="22.5" x14ac:dyDescent="0.25">
      <c r="A5" s="24" t="s">
        <v>131</v>
      </c>
      <c r="B5" s="18"/>
      <c r="C5" s="17"/>
      <c r="D5" s="122">
        <f t="shared" si="0"/>
        <v>0</v>
      </c>
    </row>
    <row r="6" spans="1:4" ht="22.5" x14ac:dyDescent="0.25">
      <c r="A6" s="24"/>
      <c r="B6" s="18"/>
      <c r="C6" s="17"/>
      <c r="D6" s="122">
        <f t="shared" si="0"/>
        <v>0</v>
      </c>
    </row>
    <row r="7" spans="1:4" ht="24.75" x14ac:dyDescent="0.5">
      <c r="A7" s="21" t="s">
        <v>0</v>
      </c>
      <c r="B7" s="22"/>
      <c r="C7" s="22"/>
      <c r="D7" s="123">
        <f>SUM(D3:D6)</f>
        <v>0</v>
      </c>
    </row>
  </sheetData>
  <sheetProtection algorithmName="SHA-512" hashValue="2c6cUmlYwrWUxQ58MXE3yMLBPSzYZ/Xae6qyWE6LPmThJS8hleA8W2g3c3xZ/S+jKwgeF7p6xVOzP7j4ol9smg==" saltValue="fQ3uGbvVIUWFMKll3exEOg==" spinCount="100000" sheet="1" formatCells="0" formatColumns="0" formatRows="0" insertColumns="0" insertRows="0" selectLockedCells="1"/>
  <mergeCells count="2">
    <mergeCell ref="A1:A2"/>
    <mergeCell ref="B1:D1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pane xSplit="1" ySplit="2" topLeftCell="B3" activePane="bottomRight" state="frozen"/>
      <selection activeCell="B7" sqref="B7:C7"/>
      <selection pane="topRight" activeCell="B7" sqref="B7:C7"/>
      <selection pane="bottomLeft" activeCell="B7" sqref="B7:C7"/>
      <selection pane="bottomRight" activeCell="H12" sqref="H12"/>
    </sheetView>
  </sheetViews>
  <sheetFormatPr defaultColWidth="8.7109375" defaultRowHeight="15" x14ac:dyDescent="0.25"/>
  <cols>
    <col min="1" max="1" width="27.85546875" style="2" bestFit="1" customWidth="1"/>
    <col min="2" max="2" width="5.5703125" style="2" bestFit="1" customWidth="1"/>
    <col min="3" max="3" width="11.5703125" style="2" bestFit="1" customWidth="1"/>
    <col min="4" max="4" width="6.28515625" style="2" bestFit="1" customWidth="1"/>
    <col min="5" max="16384" width="8.7109375" style="2"/>
  </cols>
  <sheetData>
    <row r="1" spans="1:4" s="236" customFormat="1" ht="23.25" customHeight="1" x14ac:dyDescent="0.4">
      <c r="A1" s="488" t="str">
        <f>'150.3.1.23'!A1:A2</f>
        <v>खर्च शिर्षक</v>
      </c>
      <c r="B1" s="471" t="str">
        <f>Home!C4</f>
        <v>आ.व. २०८२/०८३</v>
      </c>
      <c r="C1" s="471"/>
      <c r="D1" s="471"/>
    </row>
    <row r="2" spans="1:4" s="236" customFormat="1" ht="21.75" customHeight="1" x14ac:dyDescent="0.4">
      <c r="A2" s="488"/>
      <c r="B2" s="251" t="str">
        <f>'150.3.1.23'!B2</f>
        <v>लक्ष्य</v>
      </c>
      <c r="C2" s="230" t="str">
        <f>'150.3.1.23'!C2</f>
        <v>एकाई मूल्य</v>
      </c>
      <c r="D2" s="230" t="str">
        <f>'150.3.1.23'!D2</f>
        <v>जम्मा</v>
      </c>
    </row>
    <row r="3" spans="1:4" ht="22.5" x14ac:dyDescent="0.25">
      <c r="A3" s="16" t="s">
        <v>132</v>
      </c>
      <c r="B3" s="17"/>
      <c r="C3" s="17"/>
      <c r="D3" s="122">
        <f t="shared" ref="D3:D4" si="0">C3*B3</f>
        <v>0</v>
      </c>
    </row>
    <row r="4" spans="1:4" ht="22.5" x14ac:dyDescent="0.25">
      <c r="A4" s="24" t="s">
        <v>133</v>
      </c>
      <c r="B4" s="17"/>
      <c r="C4" s="17"/>
      <c r="D4" s="122">
        <f t="shared" si="0"/>
        <v>0</v>
      </c>
    </row>
    <row r="5" spans="1:4" ht="24.75" x14ac:dyDescent="0.5">
      <c r="A5" s="21" t="s">
        <v>0</v>
      </c>
      <c r="B5" s="17"/>
      <c r="C5" s="22"/>
      <c r="D5" s="123">
        <f>SUM(D3:D4)</f>
        <v>0</v>
      </c>
    </row>
  </sheetData>
  <sheetProtection algorithmName="SHA-512" hashValue="j+ELnPbpIEIMrXTIoHuUMf3R/j/oobAD0xAT9kblykhuRqpGiZ56xPB8fF4NxJHULp5QyhxCF74a6y4FfPyG4A==" saltValue="iEjKyab+ziDtNjHqBZUeIQ==" spinCount="100000" sheet="1" formatCells="0" formatColumns="0" formatRows="0" insertColumns="0" insertRows="0" selectLockedCells="1"/>
  <mergeCells count="2">
    <mergeCell ref="A1:A2"/>
    <mergeCell ref="B1:D1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D10"/>
  <sheetViews>
    <sheetView workbookViewId="0">
      <selection activeCell="E8" sqref="E8"/>
    </sheetView>
  </sheetViews>
  <sheetFormatPr defaultColWidth="8.7109375" defaultRowHeight="15" x14ac:dyDescent="0.25"/>
  <cols>
    <col min="1" max="1" width="50.5703125" style="2" bestFit="1" customWidth="1"/>
    <col min="2" max="2" width="8" style="2" customWidth="1"/>
    <col min="3" max="3" width="11.5703125" style="2" bestFit="1" customWidth="1"/>
    <col min="4" max="4" width="6.28515625" style="2" bestFit="1" customWidth="1"/>
    <col min="5" max="16384" width="8.7109375" style="2"/>
  </cols>
  <sheetData>
    <row r="1" spans="1:4" s="236" customFormat="1" ht="23.25" customHeight="1" x14ac:dyDescent="0.4">
      <c r="A1" s="488" t="str">
        <f>'150.3.1.24'!A1:A2</f>
        <v>खर्च शिर्षक</v>
      </c>
      <c r="B1" s="471" t="str">
        <f>Home!C4</f>
        <v>आ.व. २०८२/०८३</v>
      </c>
      <c r="C1" s="471"/>
      <c r="D1" s="471"/>
    </row>
    <row r="2" spans="1:4" s="236" customFormat="1" ht="21.75" customHeight="1" x14ac:dyDescent="0.4">
      <c r="A2" s="488"/>
      <c r="B2" s="230" t="str">
        <f>'150.3.1.24'!B2</f>
        <v>लक्ष्य</v>
      </c>
      <c r="C2" s="230" t="str">
        <f>'150.3.1.24'!C2</f>
        <v>एकाई मूल्य</v>
      </c>
      <c r="D2" s="230" t="str">
        <f>'150.3.1.24'!D2</f>
        <v>जम्मा</v>
      </c>
    </row>
    <row r="3" spans="1:4" ht="22.5" x14ac:dyDescent="0.25">
      <c r="A3" s="16" t="s">
        <v>135</v>
      </c>
      <c r="B3" s="18">
        <v>12</v>
      </c>
      <c r="C3" s="17"/>
      <c r="D3" s="122">
        <f>C3*B3</f>
        <v>0</v>
      </c>
    </row>
    <row r="4" spans="1:4" ht="22.5" x14ac:dyDescent="0.25">
      <c r="A4" s="16" t="s">
        <v>136</v>
      </c>
      <c r="B4" s="18">
        <v>1</v>
      </c>
      <c r="C4" s="17"/>
      <c r="D4" s="122">
        <f t="shared" ref="D4:D9" si="0">C4*B4</f>
        <v>0</v>
      </c>
    </row>
    <row r="5" spans="1:4" ht="22.5" x14ac:dyDescent="0.25">
      <c r="A5" s="24" t="s">
        <v>134</v>
      </c>
      <c r="B5" s="18">
        <v>1</v>
      </c>
      <c r="C5" s="17"/>
      <c r="D5" s="122">
        <f t="shared" si="0"/>
        <v>0</v>
      </c>
    </row>
    <row r="6" spans="1:4" ht="22.5" x14ac:dyDescent="0.25">
      <c r="A6" s="24" t="s">
        <v>137</v>
      </c>
      <c r="B6" s="18"/>
      <c r="C6" s="17"/>
      <c r="D6" s="122">
        <f t="shared" si="0"/>
        <v>0</v>
      </c>
    </row>
    <row r="7" spans="1:4" ht="22.5" x14ac:dyDescent="0.25">
      <c r="A7" s="24" t="s">
        <v>138</v>
      </c>
      <c r="B7" s="18"/>
      <c r="C7" s="17"/>
      <c r="D7" s="122">
        <f t="shared" si="0"/>
        <v>0</v>
      </c>
    </row>
    <row r="8" spans="1:4" ht="22.5" x14ac:dyDescent="0.25">
      <c r="A8" s="24" t="s">
        <v>139</v>
      </c>
      <c r="B8" s="18"/>
      <c r="C8" s="17"/>
      <c r="D8" s="122">
        <f t="shared" si="0"/>
        <v>0</v>
      </c>
    </row>
    <row r="9" spans="1:4" ht="22.5" x14ac:dyDescent="0.25">
      <c r="A9" s="24" t="s">
        <v>140</v>
      </c>
      <c r="B9" s="18"/>
      <c r="C9" s="17"/>
      <c r="D9" s="122">
        <f t="shared" si="0"/>
        <v>0</v>
      </c>
    </row>
    <row r="10" spans="1:4" ht="24.75" x14ac:dyDescent="0.25">
      <c r="A10" s="21" t="s">
        <v>0</v>
      </c>
      <c r="B10" s="22"/>
      <c r="C10" s="22"/>
      <c r="D10" s="134">
        <f>SUM(D3:D9)</f>
        <v>0</v>
      </c>
    </row>
  </sheetData>
  <sheetProtection algorithmName="SHA-512" hashValue="Jji5VXk3Xbzs2G5Lkt+2/1rmug9rm5i2E7ECgg+9PdONyRvqAA4ev5+1/t+rT8mn/aqH3/OBCKmal8iDNnadHg==" saltValue="8owi/vw/2Sgi5ptUlNMbzA==" spinCount="100000" sheet="1" formatCells="0" formatColumns="0" formatRows="0" insertColumns="0" insertRows="0" selectLockedCells="1"/>
  <mergeCells count="2">
    <mergeCell ref="A1:A2"/>
    <mergeCell ref="B1:D1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D7"/>
  <sheetViews>
    <sheetView workbookViewId="0">
      <selection activeCell="E16" sqref="E16"/>
    </sheetView>
  </sheetViews>
  <sheetFormatPr defaultColWidth="8.7109375" defaultRowHeight="15" x14ac:dyDescent="0.25"/>
  <cols>
    <col min="1" max="1" width="40.140625" style="2" bestFit="1" customWidth="1"/>
    <col min="2" max="2" width="5.5703125" style="2" bestFit="1" customWidth="1"/>
    <col min="3" max="3" width="11.5703125" style="2" bestFit="1" customWidth="1"/>
    <col min="4" max="4" width="6.28515625" style="2" bestFit="1" customWidth="1"/>
    <col min="5" max="16384" width="8.7109375" style="2"/>
  </cols>
  <sheetData>
    <row r="1" spans="1:4" s="236" customFormat="1" ht="23.25" x14ac:dyDescent="0.4">
      <c r="A1" s="488" t="str">
        <f>'150.3.1.25'!A1:A2</f>
        <v>खर्च शिर्षक</v>
      </c>
      <c r="B1" s="471" t="str">
        <f>Home!C4</f>
        <v>आ.व. २०८२/०८३</v>
      </c>
      <c r="C1" s="471"/>
      <c r="D1" s="471"/>
    </row>
    <row r="2" spans="1:4" s="236" customFormat="1" ht="21.75" customHeight="1" x14ac:dyDescent="0.4">
      <c r="A2" s="488"/>
      <c r="B2" s="230" t="str">
        <f>'150.3.1.25'!B2</f>
        <v>लक्ष्य</v>
      </c>
      <c r="C2" s="230" t="str">
        <f>'150.3.1.25'!C2</f>
        <v>एकाई मूल्य</v>
      </c>
      <c r="D2" s="230" t="str">
        <f>'150.3.1.25'!D2</f>
        <v>जम्मा</v>
      </c>
    </row>
    <row r="3" spans="1:4" ht="22.5" x14ac:dyDescent="0.25">
      <c r="A3" s="16" t="s">
        <v>141</v>
      </c>
      <c r="B3" s="18"/>
      <c r="C3" s="17"/>
      <c r="D3" s="122">
        <f>C3*B3</f>
        <v>0</v>
      </c>
    </row>
    <row r="4" spans="1:4" ht="22.5" x14ac:dyDescent="0.25">
      <c r="A4" s="16" t="s">
        <v>142</v>
      </c>
      <c r="B4" s="18"/>
      <c r="C4" s="17"/>
      <c r="D4" s="122">
        <f t="shared" ref="D4:D6" si="0">C4*B4</f>
        <v>0</v>
      </c>
    </row>
    <row r="5" spans="1:4" ht="22.5" x14ac:dyDescent="0.25">
      <c r="A5" s="16" t="s">
        <v>143</v>
      </c>
      <c r="B5" s="18"/>
      <c r="C5" s="17"/>
      <c r="D5" s="122">
        <f t="shared" si="0"/>
        <v>0</v>
      </c>
    </row>
    <row r="6" spans="1:4" ht="22.5" x14ac:dyDescent="0.25">
      <c r="A6" s="24"/>
      <c r="B6" s="18"/>
      <c r="C6" s="17"/>
      <c r="D6" s="122">
        <f t="shared" si="0"/>
        <v>0</v>
      </c>
    </row>
    <row r="7" spans="1:4" ht="24.75" x14ac:dyDescent="0.5">
      <c r="A7" s="21" t="s">
        <v>0</v>
      </c>
      <c r="B7" s="22"/>
      <c r="C7" s="22"/>
      <c r="D7" s="123">
        <f>SUM(D3:D6)</f>
        <v>0</v>
      </c>
    </row>
  </sheetData>
  <sheetProtection algorithmName="SHA-512" hashValue="11NB9J9IUY8dWbRdgjb+dbU//p2xCpL0OaiH1hHBsBC3bI0q+pBSgs6f+3GSK3sQ/SkjpJM9wkV9MVt89Y+d/w==" saltValue="3WBAVeKvKqVmiBB0aEHigA==" spinCount="100000" sheet="1" formatCells="0" formatColumns="0" formatRows="0" insertColumns="0" insertRows="0" selectLockedCells="1"/>
  <mergeCells count="2">
    <mergeCell ref="A1:A2"/>
    <mergeCell ref="B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="130" zoomScaleNormal="13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8" sqref="F28"/>
    </sheetView>
  </sheetViews>
  <sheetFormatPr defaultColWidth="8.7109375" defaultRowHeight="15" x14ac:dyDescent="0.25"/>
  <cols>
    <col min="1" max="1" width="29.5703125" style="66" bestFit="1" customWidth="1"/>
    <col min="2" max="2" width="20.42578125" style="66" bestFit="1" customWidth="1"/>
    <col min="3" max="3" width="11.28515625" style="66" bestFit="1" customWidth="1"/>
    <col min="4" max="4" width="12.5703125" style="66" customWidth="1"/>
    <col min="5" max="5" width="22.140625" style="66" bestFit="1" customWidth="1"/>
    <col min="6" max="6" width="28.42578125" style="66" bestFit="1" customWidth="1"/>
    <col min="7" max="7" width="22.140625" style="66" bestFit="1" customWidth="1"/>
    <col min="8" max="8" width="15.140625" style="66" bestFit="1" customWidth="1"/>
    <col min="9" max="9" width="8.7109375" style="66"/>
    <col min="10" max="10" width="15.42578125" style="66" bestFit="1" customWidth="1"/>
    <col min="11" max="16384" width="8.7109375" style="66"/>
  </cols>
  <sheetData>
    <row r="1" spans="1:10" s="179" customFormat="1" ht="30" x14ac:dyDescent="0.3">
      <c r="A1" s="392" t="str">
        <f>Home!A1</f>
        <v xml:space="preserve"> बचत तथा ऋण सहकारी संस्था लि.</v>
      </c>
      <c r="B1" s="393"/>
      <c r="C1" s="393"/>
      <c r="D1" s="393"/>
      <c r="E1" s="393"/>
      <c r="F1" s="393"/>
      <c r="G1" s="393"/>
    </row>
    <row r="2" spans="1:10" s="179" customFormat="1" ht="19.5" customHeight="1" x14ac:dyDescent="0.3">
      <c r="A2" s="394" t="str">
        <f>Home!A2</f>
        <v>ठेगाना</v>
      </c>
      <c r="B2" s="395"/>
      <c r="C2" s="395"/>
      <c r="D2" s="395"/>
      <c r="E2" s="395"/>
      <c r="F2" s="395"/>
      <c r="G2" s="395"/>
    </row>
    <row r="3" spans="1:10" s="179" customFormat="1" ht="30" hidden="1" x14ac:dyDescent="0.3">
      <c r="A3" s="396" t="s">
        <v>288</v>
      </c>
      <c r="B3" s="397"/>
      <c r="C3" s="397"/>
      <c r="D3" s="397"/>
      <c r="E3" s="397"/>
      <c r="F3" s="397"/>
      <c r="G3" s="397"/>
    </row>
    <row r="4" spans="1:10" s="179" customFormat="1" ht="30.75" thickBot="1" x14ac:dyDescent="0.35">
      <c r="A4" s="398" t="str">
        <f>Home!A3</f>
        <v xml:space="preserve">आ.व. २०८२/८३ </v>
      </c>
      <c r="B4" s="399"/>
      <c r="C4" s="399"/>
      <c r="D4" s="399"/>
      <c r="E4" s="399"/>
      <c r="F4" s="399"/>
      <c r="G4" s="399"/>
      <c r="J4" s="341"/>
    </row>
    <row r="5" spans="1:10" s="179" customFormat="1" ht="43.5" thickBot="1" x14ac:dyDescent="0.55000000000000004">
      <c r="A5" s="180" t="s">
        <v>195</v>
      </c>
      <c r="B5" s="256" t="str">
        <f>Home!A4</f>
        <v>हालको अवस्था</v>
      </c>
      <c r="C5" s="181" t="s">
        <v>39</v>
      </c>
      <c r="D5" s="181" t="s">
        <v>357</v>
      </c>
      <c r="E5" s="257" t="str">
        <f>Home!B4</f>
        <v>असार मसान्तको</v>
      </c>
      <c r="F5" s="182" t="s">
        <v>358</v>
      </c>
      <c r="G5" s="257" t="str">
        <f>Home!C4</f>
        <v>आ.व. २०८२/०८३</v>
      </c>
    </row>
    <row r="6" spans="1:10" ht="27" thickBot="1" x14ac:dyDescent="0.6">
      <c r="A6" s="87" t="s">
        <v>5</v>
      </c>
      <c r="B6" s="88"/>
      <c r="C6" s="88"/>
      <c r="D6" s="88"/>
      <c r="E6" s="88"/>
      <c r="F6" s="88"/>
      <c r="G6" s="88"/>
    </row>
    <row r="7" spans="1:10" ht="22.5" thickBot="1" x14ac:dyDescent="0.4">
      <c r="A7" s="183" t="s">
        <v>6</v>
      </c>
      <c r="B7" s="353"/>
      <c r="C7" s="60" t="e">
        <f>B7/$B$19</f>
        <v>#DIV/0!</v>
      </c>
      <c r="D7" s="68"/>
      <c r="E7" s="61">
        <f>B7</f>
        <v>0</v>
      </c>
      <c r="F7" s="69">
        <v>0.14000000000000001</v>
      </c>
      <c r="G7" s="61">
        <f>ROUND(F7*$G$20,-3)</f>
        <v>0</v>
      </c>
      <c r="H7" s="344"/>
    </row>
    <row r="8" spans="1:10" ht="22.5" thickBot="1" x14ac:dyDescent="0.4">
      <c r="A8" s="183" t="s">
        <v>529</v>
      </c>
      <c r="B8" s="354"/>
      <c r="C8" s="60" t="e">
        <f>B8/$B$19</f>
        <v>#DIV/0!</v>
      </c>
      <c r="D8" s="68"/>
      <c r="E8" s="61">
        <f>B8</f>
        <v>0</v>
      </c>
      <c r="F8" s="95" t="e">
        <f>G8/G20</f>
        <v>#DIV/0!</v>
      </c>
      <c r="G8" s="61">
        <f>ROUND(E8+'PL Appropiation'!E4+'PL Appropiation'!E13,-3)</f>
        <v>-334000</v>
      </c>
    </row>
    <row r="9" spans="1:10" ht="22.5" thickBot="1" x14ac:dyDescent="0.4">
      <c r="A9" s="183" t="s">
        <v>530</v>
      </c>
      <c r="B9" s="324"/>
      <c r="C9" s="60" t="e">
        <f t="shared" ref="C8:C17" si="0">B9/$B$19</f>
        <v>#DIV/0!</v>
      </c>
      <c r="D9" s="68"/>
      <c r="E9" s="61">
        <f>B9</f>
        <v>0</v>
      </c>
      <c r="F9" s="95" t="e">
        <f>G9/G20</f>
        <v>#DIV/0!</v>
      </c>
      <c r="G9" s="61">
        <f>ROUND('PL Appropiation'!E3-'PL Appropiation'!E4-'PL Appropiation'!E13,-3)</f>
        <v>-866000</v>
      </c>
    </row>
    <row r="10" spans="1:10" ht="22.5" thickBot="1" x14ac:dyDescent="0.4">
      <c r="A10" s="183" t="s">
        <v>8</v>
      </c>
      <c r="B10" s="352"/>
      <c r="C10" s="60" t="e">
        <f t="shared" si="0"/>
        <v>#DIV/0!</v>
      </c>
      <c r="D10" s="68"/>
      <c r="E10" s="61">
        <f>B10</f>
        <v>0</v>
      </c>
      <c r="F10" s="70"/>
      <c r="G10" s="61">
        <f t="shared" ref="G10:G13" si="1">ROUND(F10*$G$20,-3)</f>
        <v>0</v>
      </c>
      <c r="H10" s="344"/>
    </row>
    <row r="11" spans="1:10" ht="22.5" thickBot="1" x14ac:dyDescent="0.4">
      <c r="A11" s="183" t="s">
        <v>9</v>
      </c>
      <c r="B11" s="324"/>
      <c r="C11" s="60" t="e">
        <f t="shared" si="0"/>
        <v>#DIV/0!</v>
      </c>
      <c r="D11" s="68"/>
      <c r="E11" s="61">
        <f t="shared" ref="E11:E12" si="2">ROUND(D11*$E$20,-3)</f>
        <v>0</v>
      </c>
      <c r="F11" s="70"/>
      <c r="G11" s="61">
        <f t="shared" si="1"/>
        <v>0</v>
      </c>
    </row>
    <row r="12" spans="1:10" ht="25.5" thickBot="1" x14ac:dyDescent="0.55000000000000004">
      <c r="A12" s="183" t="s">
        <v>10</v>
      </c>
      <c r="B12" s="324"/>
      <c r="C12" s="60" t="e">
        <f t="shared" si="0"/>
        <v>#DIV/0!</v>
      </c>
      <c r="D12" s="68"/>
      <c r="E12" s="61">
        <f t="shared" si="2"/>
        <v>0</v>
      </c>
      <c r="F12" s="70"/>
      <c r="G12" s="61">
        <f t="shared" si="1"/>
        <v>0</v>
      </c>
      <c r="J12" s="339"/>
    </row>
    <row r="13" spans="1:10" ht="22.5" thickBot="1" x14ac:dyDescent="0.4">
      <c r="A13" s="183" t="s">
        <v>211</v>
      </c>
      <c r="B13" s="324"/>
      <c r="C13" s="60" t="e">
        <f t="shared" si="0"/>
        <v>#DIV/0!</v>
      </c>
      <c r="D13" s="68"/>
      <c r="E13" s="61">
        <f t="shared" ref="E13:E18" si="3">B13</f>
        <v>0</v>
      </c>
      <c r="F13" s="70"/>
      <c r="G13" s="61">
        <f t="shared" si="1"/>
        <v>0</v>
      </c>
    </row>
    <row r="14" spans="1:10" ht="25.5" thickBot="1" x14ac:dyDescent="0.55000000000000004">
      <c r="A14" s="183" t="s">
        <v>212</v>
      </c>
      <c r="B14" s="324"/>
      <c r="C14" s="60" t="e">
        <f t="shared" si="0"/>
        <v>#DIV/0!</v>
      </c>
      <c r="D14" s="60">
        <v>7.9200000000000007E-2</v>
      </c>
      <c r="E14" s="159">
        <f t="shared" si="3"/>
        <v>0</v>
      </c>
      <c r="F14" s="95" t="e">
        <f>G14/G19</f>
        <v>#DIV/0!</v>
      </c>
      <c r="G14" s="61">
        <f>'Loan Aging WS'!M6</f>
        <v>0</v>
      </c>
      <c r="J14" s="339"/>
    </row>
    <row r="15" spans="1:10" ht="21.75" x14ac:dyDescent="0.35">
      <c r="A15" s="183" t="s">
        <v>386</v>
      </c>
      <c r="B15" s="67"/>
      <c r="C15" s="60" t="e">
        <f t="shared" si="0"/>
        <v>#DIV/0!</v>
      </c>
      <c r="D15" s="68"/>
      <c r="E15" s="61">
        <f t="shared" si="3"/>
        <v>0</v>
      </c>
      <c r="F15" s="95" t="e">
        <f>G15/G20</f>
        <v>#DIV/0!</v>
      </c>
      <c r="G15" s="61">
        <f>'Final PL'!C23</f>
        <v>-300000</v>
      </c>
      <c r="J15" s="340" t="e">
        <f>J14/J12</f>
        <v>#DIV/0!</v>
      </c>
    </row>
    <row r="16" spans="1:10" ht="21.75" x14ac:dyDescent="0.35">
      <c r="A16" s="183" t="s">
        <v>11</v>
      </c>
      <c r="B16" s="67"/>
      <c r="C16" s="60" t="e">
        <f t="shared" si="0"/>
        <v>#DIV/0!</v>
      </c>
      <c r="D16" s="60">
        <v>1E-4</v>
      </c>
      <c r="E16" s="61">
        <f t="shared" si="3"/>
        <v>0</v>
      </c>
      <c r="F16" s="60" t="e">
        <f>G16/G20</f>
        <v>#DIV/0!</v>
      </c>
      <c r="G16" s="61">
        <f>G20-SUM(G7:G15)</f>
        <v>1500000</v>
      </c>
    </row>
    <row r="17" spans="1:8" ht="21.75" x14ac:dyDescent="0.35">
      <c r="A17" s="183" t="s">
        <v>568</v>
      </c>
      <c r="B17" s="67"/>
      <c r="C17" s="60" t="e">
        <f t="shared" si="0"/>
        <v>#DIV/0!</v>
      </c>
      <c r="D17" s="60"/>
      <c r="E17" s="61">
        <f t="shared" si="3"/>
        <v>0</v>
      </c>
      <c r="F17" s="342">
        <v>0</v>
      </c>
      <c r="G17" s="61">
        <f>G19*F17</f>
        <v>0</v>
      </c>
    </row>
    <row r="18" spans="1:8" ht="21.75" x14ac:dyDescent="0.35">
      <c r="A18" s="183" t="s">
        <v>560</v>
      </c>
      <c r="B18" s="67"/>
      <c r="C18" s="60"/>
      <c r="D18" s="60"/>
      <c r="E18" s="61">
        <f t="shared" si="3"/>
        <v>0</v>
      </c>
      <c r="F18" s="342">
        <v>0</v>
      </c>
      <c r="G18" s="61">
        <f>G19*F18</f>
        <v>0</v>
      </c>
    </row>
    <row r="19" spans="1:8" ht="23.25" x14ac:dyDescent="0.35">
      <c r="A19" s="184" t="s">
        <v>38</v>
      </c>
      <c r="B19" s="258">
        <f>SUM(B7:B18)</f>
        <v>0</v>
      </c>
      <c r="C19" s="75"/>
      <c r="D19" s="75"/>
      <c r="E19" s="59">
        <f>SUM(E7:E18)</f>
        <v>0</v>
      </c>
      <c r="F19" s="76"/>
      <c r="G19" s="59">
        <f>SUM(G7:G16)</f>
        <v>0</v>
      </c>
    </row>
    <row r="20" spans="1:8" ht="23.25" x14ac:dyDescent="0.35">
      <c r="A20" s="184" t="s">
        <v>531</v>
      </c>
      <c r="B20" s="259">
        <f>B19</f>
        <v>0</v>
      </c>
      <c r="C20" s="57"/>
      <c r="D20" s="57"/>
      <c r="E20" s="59">
        <f>(B20+B20*C20)</f>
        <v>0</v>
      </c>
      <c r="F20" s="58"/>
      <c r="G20" s="59">
        <f>ROUND(E20+E20*F20,-3)</f>
        <v>0</v>
      </c>
    </row>
    <row r="21" spans="1:8" ht="26.25" x14ac:dyDescent="0.55000000000000004">
      <c r="A21" s="89" t="s">
        <v>12</v>
      </c>
      <c r="B21" s="90"/>
      <c r="C21" s="90"/>
      <c r="D21" s="90"/>
      <c r="E21" s="90"/>
      <c r="F21" s="343"/>
      <c r="G21" s="90"/>
    </row>
    <row r="22" spans="1:8" ht="21.75" x14ac:dyDescent="0.35">
      <c r="A22" s="183" t="s">
        <v>532</v>
      </c>
      <c r="B22" s="64"/>
      <c r="C22" s="62" t="e">
        <f>B22/$B$29</f>
        <v>#DIV/0!</v>
      </c>
      <c r="D22" s="71"/>
      <c r="E22" s="64">
        <f>(D22*$E$20)</f>
        <v>0</v>
      </c>
      <c r="F22" s="72"/>
      <c r="G22" s="65">
        <f>ROUND(F22*$G$20,-3)</f>
        <v>0</v>
      </c>
    </row>
    <row r="23" spans="1:8" ht="21.75" x14ac:dyDescent="0.35">
      <c r="A23" s="183" t="s">
        <v>13</v>
      </c>
      <c r="B23" s="64"/>
      <c r="C23" s="62" t="e">
        <f t="shared" ref="C23:C27" si="4">B23/$B$29</f>
        <v>#DIV/0!</v>
      </c>
      <c r="D23" s="71"/>
      <c r="E23" s="64">
        <f>(D23*$E$20)</f>
        <v>0</v>
      </c>
      <c r="F23" s="72"/>
      <c r="G23" s="65">
        <f>ROUND(F23*$G$20,-3)</f>
        <v>0</v>
      </c>
    </row>
    <row r="24" spans="1:8" ht="21.75" x14ac:dyDescent="0.35">
      <c r="A24" s="183" t="s">
        <v>14</v>
      </c>
      <c r="B24" s="64"/>
      <c r="C24" s="62" t="e">
        <f t="shared" si="4"/>
        <v>#DIV/0!</v>
      </c>
      <c r="D24" s="71"/>
      <c r="E24" s="64">
        <f>(D24*$E$20)</f>
        <v>0</v>
      </c>
      <c r="F24" s="72"/>
      <c r="G24" s="65">
        <f>ROUND(F24*$G$20,-3)</f>
        <v>0</v>
      </c>
    </row>
    <row r="25" spans="1:8" ht="21.75" x14ac:dyDescent="0.35">
      <c r="A25" s="183" t="s">
        <v>15</v>
      </c>
      <c r="B25" s="64"/>
      <c r="C25" s="62" t="e">
        <f t="shared" si="4"/>
        <v>#DIV/0!</v>
      </c>
      <c r="D25" s="73"/>
      <c r="E25" s="64">
        <f>(D25*$E$20)</f>
        <v>0</v>
      </c>
      <c r="F25" s="74"/>
      <c r="G25" s="65">
        <f>ROUND(F25*$G$20,-3)</f>
        <v>0</v>
      </c>
      <c r="H25" s="344">
        <f>G25-E25</f>
        <v>0</v>
      </c>
    </row>
    <row r="26" spans="1:8" ht="21.75" x14ac:dyDescent="0.35">
      <c r="A26" s="183" t="s">
        <v>16</v>
      </c>
      <c r="B26" s="64"/>
      <c r="C26" s="62" t="e">
        <f t="shared" si="4"/>
        <v>#DIV/0!</v>
      </c>
      <c r="D26" s="62">
        <v>3.5900000000000001E-2</v>
      </c>
      <c r="E26" s="64">
        <f>E20-SUM(E22:E25)-E27-E28</f>
        <v>0</v>
      </c>
      <c r="F26" s="160" t="e">
        <f>100%-(F22+F23+F24+F25+F27+F28)</f>
        <v>#DIV/0!</v>
      </c>
      <c r="G26" s="65">
        <f>G20-SUM(G22:G25)-G27-G28</f>
        <v>0</v>
      </c>
    </row>
    <row r="27" spans="1:8" ht="21.75" x14ac:dyDescent="0.35">
      <c r="A27" s="183" t="s">
        <v>17</v>
      </c>
      <c r="B27" s="64"/>
      <c r="C27" s="62" t="e">
        <f t="shared" si="4"/>
        <v>#DIV/0!</v>
      </c>
      <c r="D27" s="73"/>
      <c r="E27" s="64">
        <f>(D27*$E$20)</f>
        <v>0</v>
      </c>
      <c r="F27" s="63" t="e">
        <f>G27/G20</f>
        <v>#DIV/0!</v>
      </c>
      <c r="G27" s="65">
        <f>ROUND('150.3.1.28'!M8,-3)</f>
        <v>0</v>
      </c>
    </row>
    <row r="28" spans="1:8" ht="21.75" x14ac:dyDescent="0.35">
      <c r="A28" s="183" t="s">
        <v>18</v>
      </c>
      <c r="B28" s="64"/>
      <c r="C28" s="62" t="e">
        <f>B27/$B$29</f>
        <v>#DIV/0!</v>
      </c>
      <c r="D28" s="73"/>
      <c r="E28" s="64">
        <f>(D28*$E$20)</f>
        <v>0</v>
      </c>
      <c r="F28" s="72"/>
      <c r="G28" s="65">
        <f>ROUND(F28*$G$20,-3)</f>
        <v>0</v>
      </c>
    </row>
    <row r="29" spans="1:8" ht="24" thickBot="1" x14ac:dyDescent="0.4">
      <c r="A29" s="261" t="s">
        <v>38</v>
      </c>
      <c r="B29" s="262">
        <f>SUM(B22:B28)</f>
        <v>0</v>
      </c>
      <c r="C29" s="263"/>
      <c r="D29" s="263"/>
      <c r="E29" s="326">
        <f>SUM(E22:E28)</f>
        <v>0</v>
      </c>
      <c r="F29" s="264"/>
      <c r="G29" s="326">
        <f>SUM(G22:G28)</f>
        <v>0</v>
      </c>
      <c r="H29" s="344">
        <f>G29-E29</f>
        <v>0</v>
      </c>
    </row>
    <row r="32" spans="1:8" x14ac:dyDescent="0.25">
      <c r="A32" s="66" t="s">
        <v>533</v>
      </c>
      <c r="B32" s="260"/>
      <c r="E32" s="260">
        <f>E19-E29</f>
        <v>0</v>
      </c>
      <c r="G32" s="260">
        <f>G19-G29</f>
        <v>0</v>
      </c>
    </row>
  </sheetData>
  <sheetProtection algorithmName="SHA-512" hashValue="Ilj46aP/48W/uEgmw0qxlL3xROsu4SiIFy96T3nJSmVMI/6gli4nhBjWCQ9beNBvpXK2kgSl+ceNTCyZLotiAw==" saltValue="JUVNtWcLGbta/9htainGOw==" spinCount="100000" sheet="1" formatCells="0" formatColumns="0" formatRows="0" insertColumns="0" insertRows="0" selectLockedCells="1"/>
  <mergeCells count="4">
    <mergeCell ref="A1:G1"/>
    <mergeCell ref="A2:G2"/>
    <mergeCell ref="A3:G3"/>
    <mergeCell ref="A4:G4"/>
  </mergeCells>
  <pageMargins left="0.7" right="0.7" top="0.75" bottom="0.75" header="0.3" footer="0.3"/>
  <pageSetup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D8"/>
  <sheetViews>
    <sheetView workbookViewId="0">
      <selection activeCell="H7" sqref="H7"/>
    </sheetView>
  </sheetViews>
  <sheetFormatPr defaultColWidth="8.7109375" defaultRowHeight="15" x14ac:dyDescent="0.25"/>
  <cols>
    <col min="1" max="1" width="50.140625" style="2" bestFit="1" customWidth="1"/>
    <col min="2" max="2" width="5.5703125" style="2" bestFit="1" customWidth="1"/>
    <col min="3" max="3" width="11.5703125" style="2" bestFit="1" customWidth="1"/>
    <col min="4" max="4" width="6.28515625" style="2" bestFit="1" customWidth="1"/>
    <col min="5" max="16384" width="8.7109375" style="2"/>
  </cols>
  <sheetData>
    <row r="1" spans="1:4" s="236" customFormat="1" ht="23.25" x14ac:dyDescent="0.4">
      <c r="A1" s="488" t="str">
        <f>'150.3.1.26'!A1:A2</f>
        <v>खर्च शिर्षक</v>
      </c>
      <c r="B1" s="471" t="str">
        <f>Home!C4</f>
        <v>आ.व. २०८२/०८३</v>
      </c>
      <c r="C1" s="471"/>
      <c r="D1" s="471"/>
    </row>
    <row r="2" spans="1:4" s="236" customFormat="1" ht="21.75" customHeight="1" x14ac:dyDescent="0.4">
      <c r="A2" s="488"/>
      <c r="B2" s="230" t="str">
        <f>'150.3.1.26'!B2</f>
        <v>लक्ष्य</v>
      </c>
      <c r="C2" s="230" t="str">
        <f>'150.3.1.26'!C2</f>
        <v>एकाई मूल्य</v>
      </c>
      <c r="D2" s="230" t="str">
        <f>'150.3.1.26'!D2</f>
        <v>जम्मा</v>
      </c>
    </row>
    <row r="3" spans="1:4" ht="22.5" x14ac:dyDescent="0.25">
      <c r="A3" s="16" t="s">
        <v>144</v>
      </c>
      <c r="B3" s="18"/>
      <c r="C3" s="17"/>
      <c r="D3" s="122">
        <f>C3*B3</f>
        <v>0</v>
      </c>
    </row>
    <row r="4" spans="1:4" ht="22.5" x14ac:dyDescent="0.25">
      <c r="A4" s="16" t="s">
        <v>145</v>
      </c>
      <c r="B4" s="18"/>
      <c r="C4" s="17"/>
      <c r="D4" s="122">
        <f t="shared" ref="D4:D7" si="0">C4*B4</f>
        <v>0</v>
      </c>
    </row>
    <row r="5" spans="1:4" ht="22.5" x14ac:dyDescent="0.25">
      <c r="A5" s="16" t="s">
        <v>146</v>
      </c>
      <c r="B5" s="18"/>
      <c r="C5" s="17"/>
      <c r="D5" s="122">
        <f t="shared" si="0"/>
        <v>0</v>
      </c>
    </row>
    <row r="6" spans="1:4" ht="22.5" x14ac:dyDescent="0.25">
      <c r="A6" s="24" t="s">
        <v>147</v>
      </c>
      <c r="B6" s="18"/>
      <c r="C6" s="17"/>
      <c r="D6" s="122">
        <f t="shared" si="0"/>
        <v>0</v>
      </c>
    </row>
    <row r="7" spans="1:4" ht="45" x14ac:dyDescent="0.25">
      <c r="A7" s="42" t="s">
        <v>148</v>
      </c>
      <c r="B7" s="18"/>
      <c r="C7" s="17"/>
      <c r="D7" s="122">
        <f t="shared" si="0"/>
        <v>0</v>
      </c>
    </row>
    <row r="8" spans="1:4" ht="24.75" x14ac:dyDescent="0.5">
      <c r="A8" s="21" t="s">
        <v>0</v>
      </c>
      <c r="B8" s="22"/>
      <c r="C8" s="22"/>
      <c r="D8" s="123">
        <f>SUM(D3:D7)</f>
        <v>0</v>
      </c>
    </row>
  </sheetData>
  <sheetProtection algorithmName="SHA-512" hashValue="RVxNgvL54YZgML9pZz6WTF26kKdnbQYVnLTnq0Joc4HU5G5GPO6fA4aWBXAvWN4/r/lvCFCkm1HOaKAUWOQgXQ==" saltValue="M+upAhyv2n8JGMRImM+6Zw==" spinCount="100000" sheet="1" formatCells="0" formatColumns="0" formatRows="0" insertColumns="0" insertRows="0" selectLockedCells="1"/>
  <mergeCells count="2">
    <mergeCell ref="A1:A2"/>
    <mergeCell ref="B1:D1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workbookViewId="0">
      <selection activeCell="F13" sqref="F13"/>
    </sheetView>
  </sheetViews>
  <sheetFormatPr defaultColWidth="13.5703125" defaultRowHeight="15" x14ac:dyDescent="0.25"/>
  <cols>
    <col min="1" max="1" width="33.42578125" bestFit="1" customWidth="1"/>
    <col min="2" max="2" width="12.85546875" bestFit="1" customWidth="1"/>
    <col min="3" max="4" width="12.85546875" customWidth="1"/>
    <col min="5" max="5" width="18.28515625" bestFit="1" customWidth="1"/>
    <col min="6" max="6" width="18.85546875" bestFit="1" customWidth="1"/>
    <col min="7" max="7" width="21.5703125" bestFit="1" customWidth="1"/>
    <col min="8" max="8" width="10.85546875" bestFit="1" customWidth="1"/>
    <col min="9" max="9" width="9.5703125" bestFit="1" customWidth="1"/>
    <col min="10" max="10" width="11.42578125" bestFit="1" customWidth="1"/>
    <col min="11" max="11" width="11.7109375" bestFit="1" customWidth="1"/>
    <col min="12" max="12" width="17.42578125" bestFit="1" customWidth="1"/>
    <col min="13" max="13" width="18.5703125" bestFit="1" customWidth="1"/>
  </cols>
  <sheetData>
    <row r="1" spans="1:13" s="240" customFormat="1" ht="23.25" x14ac:dyDescent="0.4">
      <c r="A1" s="470" t="s">
        <v>195</v>
      </c>
      <c r="B1" s="472" t="s">
        <v>518</v>
      </c>
      <c r="C1" s="472" t="str">
        <f>Home!A4</f>
        <v>हालको अवस्था</v>
      </c>
      <c r="D1" s="472" t="str">
        <f>Home!B4</f>
        <v>असार मसान्तको</v>
      </c>
      <c r="E1" s="241"/>
      <c r="F1" s="241"/>
      <c r="G1" s="470" t="s">
        <v>521</v>
      </c>
      <c r="H1" s="449" t="str">
        <f>Home!C4</f>
        <v>आ.व. २०८२/०८३</v>
      </c>
      <c r="I1" s="450"/>
      <c r="J1" s="450"/>
      <c r="K1" s="450"/>
      <c r="L1" s="450"/>
      <c r="M1" s="451"/>
    </row>
    <row r="2" spans="1:13" s="240" customFormat="1" ht="69.75" x14ac:dyDescent="0.4">
      <c r="A2" s="470"/>
      <c r="B2" s="473"/>
      <c r="C2" s="473"/>
      <c r="D2" s="473"/>
      <c r="E2" s="242" t="s">
        <v>519</v>
      </c>
      <c r="F2" s="242" t="s">
        <v>520</v>
      </c>
      <c r="G2" s="470"/>
      <c r="H2" s="243" t="s">
        <v>522</v>
      </c>
      <c r="I2" s="243" t="s">
        <v>523</v>
      </c>
      <c r="J2" s="243" t="s">
        <v>524</v>
      </c>
      <c r="K2" s="243" t="s">
        <v>525</v>
      </c>
      <c r="L2" s="243" t="s">
        <v>526</v>
      </c>
      <c r="M2" s="243" t="s">
        <v>527</v>
      </c>
    </row>
    <row r="3" spans="1:13" ht="22.5" x14ac:dyDescent="0.25">
      <c r="A3" s="161" t="s">
        <v>174</v>
      </c>
      <c r="B3" s="162">
        <v>0</v>
      </c>
      <c r="C3" s="162"/>
      <c r="D3" s="162"/>
      <c r="E3" s="163"/>
      <c r="F3" s="164">
        <f>E3*B3</f>
        <v>0</v>
      </c>
      <c r="G3" s="164">
        <f>E3-F3</f>
        <v>0</v>
      </c>
      <c r="H3" s="125">
        <f>'FA Details  WS'!C3</f>
        <v>0</v>
      </c>
      <c r="I3" s="125">
        <f>'FA Details  WS'!D3</f>
        <v>0</v>
      </c>
      <c r="J3" s="125">
        <f>'FA Details  WS'!E3</f>
        <v>0</v>
      </c>
      <c r="K3" s="125">
        <f>SUM(H3:J3)</f>
        <v>0</v>
      </c>
      <c r="L3" s="125">
        <f>(G3+H3+I3*2/3+J3/3)*B3</f>
        <v>0</v>
      </c>
      <c r="M3" s="125">
        <f>G3+K3-L3</f>
        <v>0</v>
      </c>
    </row>
    <row r="4" spans="1:13" ht="22.5" x14ac:dyDescent="0.25">
      <c r="A4" s="161" t="s">
        <v>175</v>
      </c>
      <c r="B4" s="165">
        <v>0.05</v>
      </c>
      <c r="C4" s="165"/>
      <c r="D4" s="165"/>
      <c r="E4" s="163"/>
      <c r="F4" s="164">
        <f>E4*B4</f>
        <v>0</v>
      </c>
      <c r="G4" s="164">
        <f t="shared" ref="G4:G7" si="0">E4-F4</f>
        <v>0</v>
      </c>
      <c r="H4" s="125">
        <f>'FA Details  WS'!C5</f>
        <v>0</v>
      </c>
      <c r="I4" s="125">
        <f>'FA Details  WS'!D5</f>
        <v>0</v>
      </c>
      <c r="J4" s="125">
        <f>'FA Details  WS'!E5</f>
        <v>0</v>
      </c>
      <c r="K4" s="125">
        <f t="shared" ref="K4:K7" si="1">SUM(H4:J4)</f>
        <v>0</v>
      </c>
      <c r="L4" s="125">
        <f>(G4+H4+I4*2/3+J4/3)*B4</f>
        <v>0</v>
      </c>
      <c r="M4" s="125">
        <f t="shared" ref="M4:M7" si="2">G4+K4-L4</f>
        <v>0</v>
      </c>
    </row>
    <row r="5" spans="1:13" ht="22.5" x14ac:dyDescent="0.25">
      <c r="A5" s="161" t="s">
        <v>176</v>
      </c>
      <c r="B5" s="165">
        <v>0.25</v>
      </c>
      <c r="C5" s="165"/>
      <c r="D5" s="165"/>
      <c r="E5" s="163"/>
      <c r="F5" s="164">
        <f t="shared" ref="F5:F7" si="3">E5*B5</f>
        <v>0</v>
      </c>
      <c r="G5" s="164">
        <f t="shared" si="0"/>
        <v>0</v>
      </c>
      <c r="H5" s="125">
        <f>'FA Details  WS'!C23</f>
        <v>0</v>
      </c>
      <c r="I5" s="125">
        <f>'FA Details  WS'!D23</f>
        <v>0</v>
      </c>
      <c r="J5" s="125">
        <f>'FA Details  WS'!E23</f>
        <v>0</v>
      </c>
      <c r="K5" s="125">
        <f t="shared" si="1"/>
        <v>0</v>
      </c>
      <c r="L5" s="125">
        <f>(G5+H5+I5*2/3+J5/3)*B5</f>
        <v>0</v>
      </c>
      <c r="M5" s="125">
        <f t="shared" si="2"/>
        <v>0</v>
      </c>
    </row>
    <row r="6" spans="1:13" ht="22.5" x14ac:dyDescent="0.25">
      <c r="A6" s="161" t="s">
        <v>177</v>
      </c>
      <c r="B6" s="165">
        <v>0.2</v>
      </c>
      <c r="C6" s="165"/>
      <c r="D6" s="165"/>
      <c r="E6" s="163">
        <v>0</v>
      </c>
      <c r="F6" s="164">
        <f t="shared" si="3"/>
        <v>0</v>
      </c>
      <c r="G6" s="164">
        <f t="shared" si="0"/>
        <v>0</v>
      </c>
      <c r="H6" s="125">
        <f>'FA Details  WS'!C28</f>
        <v>0</v>
      </c>
      <c r="I6" s="125">
        <f>'FA Details  WS'!D28</f>
        <v>0</v>
      </c>
      <c r="J6" s="125">
        <f>'FA Details  WS'!E28</f>
        <v>0</v>
      </c>
      <c r="K6" s="125">
        <f t="shared" si="1"/>
        <v>0</v>
      </c>
      <c r="L6" s="125">
        <f>(G6+H6+I6*2/3+J6/3)*B6</f>
        <v>0</v>
      </c>
      <c r="M6" s="125">
        <f t="shared" si="2"/>
        <v>0</v>
      </c>
    </row>
    <row r="7" spans="1:13" ht="45" x14ac:dyDescent="0.35">
      <c r="A7" s="166" t="s">
        <v>178</v>
      </c>
      <c r="B7" s="165">
        <v>0.1</v>
      </c>
      <c r="C7" s="165"/>
      <c r="D7" s="165"/>
      <c r="E7" s="126"/>
      <c r="F7" s="164">
        <f t="shared" si="3"/>
        <v>0</v>
      </c>
      <c r="G7" s="29">
        <f t="shared" si="0"/>
        <v>0</v>
      </c>
      <c r="H7" s="167">
        <f>'FA Details  WS'!C33</f>
        <v>0</v>
      </c>
      <c r="I7" s="167">
        <f>'FA Details  WS'!D33</f>
        <v>0</v>
      </c>
      <c r="J7" s="167">
        <f>'FA Details  WS'!E33</f>
        <v>0</v>
      </c>
      <c r="K7" s="125">
        <f t="shared" si="1"/>
        <v>0</v>
      </c>
      <c r="L7" s="125">
        <f>(G7+H7+I7*2/3+J7/3)*B7</f>
        <v>0</v>
      </c>
      <c r="M7" s="125">
        <f t="shared" si="2"/>
        <v>0</v>
      </c>
    </row>
    <row r="8" spans="1:13" s="171" customFormat="1" ht="17.25" x14ac:dyDescent="0.35">
      <c r="A8" s="168" t="s">
        <v>0</v>
      </c>
      <c r="B8" s="169"/>
      <c r="C8" s="252">
        <f>SUM(C3:C7)</f>
        <v>0</v>
      </c>
      <c r="D8" s="252">
        <f>SUM(D3:D7)</f>
        <v>0</v>
      </c>
      <c r="E8" s="170">
        <f t="shared" ref="E8" si="4">SUM(E3:E7)</f>
        <v>0</v>
      </c>
      <c r="F8" s="170"/>
      <c r="G8" s="170">
        <f t="shared" ref="G8" si="5">SUM(G3:G7)</f>
        <v>0</v>
      </c>
      <c r="H8" s="170">
        <f>SUM(H3:H7)</f>
        <v>0</v>
      </c>
      <c r="I8" s="170">
        <f t="shared" ref="I8:M8" si="6">SUM(I3:I7)</f>
        <v>0</v>
      </c>
      <c r="J8" s="170">
        <f t="shared" si="6"/>
        <v>0</v>
      </c>
      <c r="K8" s="170">
        <f t="shared" si="6"/>
        <v>0</v>
      </c>
      <c r="L8" s="170">
        <f t="shared" si="6"/>
        <v>0</v>
      </c>
      <c r="M8" s="170">
        <f t="shared" si="6"/>
        <v>0</v>
      </c>
    </row>
    <row r="13" spans="1:13" s="172" customFormat="1" ht="17.45" customHeight="1" x14ac:dyDescent="0.25"/>
    <row r="15" spans="1:13" s="173" customFormat="1" x14ac:dyDescent="0.25"/>
    <row r="16" spans="1:13" ht="19.5" customHeight="1" x14ac:dyDescent="0.25"/>
    <row r="29" s="171" customFormat="1" x14ac:dyDescent="0.25"/>
    <row r="30" ht="19.5" customHeight="1" x14ac:dyDescent="0.25"/>
    <row r="34" spans="2:13" s="173" customFormat="1" x14ac:dyDescent="0.25"/>
    <row r="35" spans="2:13" ht="19.5" customHeight="1" x14ac:dyDescent="0.25"/>
    <row r="39" spans="2:13" s="173" customFormat="1" x14ac:dyDescent="0.25"/>
    <row r="42" spans="2:13" ht="18" x14ac:dyDescent="0.35">
      <c r="B42" s="174"/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</row>
    <row r="43" spans="2:13" ht="18" x14ac:dyDescent="0.35">
      <c r="B43" s="174"/>
      <c r="C43" s="174"/>
      <c r="D43" s="174"/>
      <c r="E43" s="174"/>
      <c r="F43" s="174"/>
      <c r="G43" s="174"/>
      <c r="H43" s="174"/>
      <c r="I43" s="174"/>
      <c r="J43" s="174"/>
      <c r="K43" s="174"/>
      <c r="L43" s="174"/>
      <c r="M43" s="174"/>
    </row>
    <row r="44" spans="2:13" ht="18" x14ac:dyDescent="0.35">
      <c r="B44" s="174"/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4"/>
    </row>
    <row r="45" spans="2:13" ht="18" x14ac:dyDescent="0.35">
      <c r="B45" s="174"/>
      <c r="C45" s="174"/>
      <c r="D45" s="174"/>
      <c r="E45" s="174"/>
      <c r="F45" s="174"/>
      <c r="G45" s="174"/>
      <c r="H45" s="174"/>
      <c r="I45" s="174"/>
      <c r="J45" s="174"/>
      <c r="K45" s="174"/>
      <c r="L45" s="174"/>
      <c r="M45" s="174"/>
    </row>
    <row r="46" spans="2:13" ht="18" x14ac:dyDescent="0.35">
      <c r="B46" s="174"/>
      <c r="C46" s="174"/>
      <c r="D46" s="174"/>
      <c r="E46" s="174"/>
      <c r="F46" s="174"/>
      <c r="G46" s="174"/>
      <c r="H46" s="174"/>
      <c r="I46" s="174"/>
      <c r="J46" s="174"/>
      <c r="K46" s="174"/>
      <c r="L46" s="174"/>
      <c r="M46" s="174"/>
    </row>
    <row r="47" spans="2:13" ht="18" x14ac:dyDescent="0.35"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</row>
    <row r="48" spans="2:13" ht="18" x14ac:dyDescent="0.35"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</row>
    <row r="49" spans="2:13" ht="18" x14ac:dyDescent="0.35">
      <c r="B49" s="174"/>
      <c r="C49" s="174"/>
      <c r="D49" s="174"/>
      <c r="E49" s="174"/>
      <c r="F49" s="174"/>
      <c r="G49" s="174"/>
      <c r="H49" s="174"/>
      <c r="I49" s="174"/>
      <c r="J49" s="174"/>
      <c r="K49" s="174"/>
      <c r="L49" s="174"/>
      <c r="M49" s="174"/>
    </row>
    <row r="50" spans="2:13" ht="18" x14ac:dyDescent="0.35">
      <c r="B50" s="174"/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</row>
    <row r="51" spans="2:13" ht="18" x14ac:dyDescent="0.35">
      <c r="B51" s="174"/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</row>
    <row r="52" spans="2:13" ht="18" x14ac:dyDescent="0.35">
      <c r="B52" s="174"/>
      <c r="C52" s="174"/>
      <c r="D52" s="174"/>
      <c r="E52" s="174"/>
      <c r="F52" s="174"/>
      <c r="G52" s="174"/>
      <c r="H52" s="174"/>
      <c r="I52" s="174"/>
      <c r="J52" s="174"/>
      <c r="K52" s="174"/>
      <c r="L52" s="174"/>
      <c r="M52" s="174"/>
    </row>
    <row r="53" spans="2:13" ht="18" x14ac:dyDescent="0.35"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</row>
    <row r="54" spans="2:13" ht="18" x14ac:dyDescent="0.35">
      <c r="B54" s="174"/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</row>
  </sheetData>
  <sheetProtection algorithmName="SHA-512" hashValue="EwKlcVapt9lVqFC4tSOH6h0ILWu43kI7ewb681d5t/Mgh/bAx0b3KW5xRNHDix0TcB+JA8dlYivuG7O1Fy+TtA==" saltValue="WA647tXuGdm40UFbe0Pgng==" spinCount="100000" sheet="1" formatCells="0" formatColumns="0" formatRows="0" insertColumns="0" insertRows="0" selectLockedCells="1"/>
  <mergeCells count="6">
    <mergeCell ref="A1:A2"/>
    <mergeCell ref="G1:G2"/>
    <mergeCell ref="H1:M1"/>
    <mergeCell ref="B1:B2"/>
    <mergeCell ref="C1:C2"/>
    <mergeCell ref="D1:D2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H4" sqref="H4"/>
    </sheetView>
  </sheetViews>
  <sheetFormatPr defaultColWidth="8.7109375" defaultRowHeight="15" x14ac:dyDescent="0.25"/>
  <cols>
    <col min="1" max="1" width="22.5703125" style="2" bestFit="1" customWidth="1"/>
    <col min="2" max="2" width="5.5703125" style="2" bestFit="1" customWidth="1"/>
    <col min="3" max="3" width="11.5703125" style="2" bestFit="1" customWidth="1"/>
    <col min="4" max="4" width="6.28515625" style="2" bestFit="1" customWidth="1"/>
    <col min="5" max="16384" width="8.7109375" style="2"/>
  </cols>
  <sheetData>
    <row r="1" spans="1:4" s="236" customFormat="1" ht="23.25" x14ac:dyDescent="0.4">
      <c r="A1" s="488" t="str">
        <f>'150.3.1.27'!A1:A2</f>
        <v>खर्च शिर्षक</v>
      </c>
      <c r="B1" s="471" t="str">
        <f>Home!C4</f>
        <v>आ.व. २०८२/०८३</v>
      </c>
      <c r="C1" s="471"/>
      <c r="D1" s="471"/>
    </row>
    <row r="2" spans="1:4" s="236" customFormat="1" ht="21.75" customHeight="1" x14ac:dyDescent="0.4">
      <c r="A2" s="488"/>
      <c r="B2" s="230" t="str">
        <f>'150.3.1.27'!B2</f>
        <v>लक्ष्य</v>
      </c>
      <c r="C2" s="230" t="str">
        <f>'150.3.1.27'!C2</f>
        <v>एकाई मूल्य</v>
      </c>
      <c r="D2" s="230" t="str">
        <f>'150.3.1.27'!D2</f>
        <v>जम्मा</v>
      </c>
    </row>
    <row r="3" spans="1:4" ht="22.5" x14ac:dyDescent="0.25">
      <c r="A3" s="16" t="s">
        <v>180</v>
      </c>
      <c r="B3" s="18"/>
      <c r="C3" s="17"/>
      <c r="D3" s="122">
        <f>C3*B3</f>
        <v>0</v>
      </c>
    </row>
    <row r="4" spans="1:4" ht="22.5" x14ac:dyDescent="0.25">
      <c r="A4" s="24"/>
      <c r="B4" s="18"/>
      <c r="C4" s="17"/>
      <c r="D4" s="122">
        <f>C4*B4</f>
        <v>0</v>
      </c>
    </row>
    <row r="5" spans="1:4" ht="24.75" x14ac:dyDescent="0.5">
      <c r="A5" s="21" t="s">
        <v>0</v>
      </c>
      <c r="B5" s="22"/>
      <c r="C5" s="22"/>
      <c r="D5" s="133">
        <f>SUM(D3:D4)</f>
        <v>0</v>
      </c>
    </row>
  </sheetData>
  <sheetProtection formatCells="0" formatColumns="0" formatRows="0" insertColumns="0" insertRows="0" selectLockedCells="1"/>
  <mergeCells count="2">
    <mergeCell ref="A1:A2"/>
    <mergeCell ref="B1:D1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E3" sqref="E3"/>
    </sheetView>
  </sheetViews>
  <sheetFormatPr defaultColWidth="8.7109375" defaultRowHeight="15" x14ac:dyDescent="0.25"/>
  <cols>
    <col min="1" max="1" width="12.42578125" style="2" bestFit="1" customWidth="1"/>
    <col min="2" max="3" width="12.42578125" style="2" customWidth="1"/>
    <col min="4" max="4" width="5.5703125" style="2" bestFit="1" customWidth="1"/>
    <col min="5" max="5" width="11.5703125" style="2" bestFit="1" customWidth="1"/>
    <col min="6" max="6" width="12.85546875" style="2" bestFit="1" customWidth="1"/>
    <col min="7" max="16384" width="8.7109375" style="2"/>
  </cols>
  <sheetData>
    <row r="1" spans="1:6" s="194" customFormat="1" ht="21" x14ac:dyDescent="0.3">
      <c r="A1" s="489" t="str">
        <f>'150.3.1.29'!A1:A2</f>
        <v>खर्च शिर्षक</v>
      </c>
      <c r="B1" s="490" t="str">
        <f>Home!A4</f>
        <v>हालको अवस्था</v>
      </c>
      <c r="C1" s="490" t="str">
        <f>Home!B4</f>
        <v>असार मसान्तको</v>
      </c>
      <c r="D1" s="467" t="str">
        <f>Home!C4</f>
        <v>आ.व. २०८२/०८३</v>
      </c>
      <c r="E1" s="467"/>
      <c r="F1" s="467"/>
    </row>
    <row r="2" spans="1:6" s="194" customFormat="1" ht="49.5" x14ac:dyDescent="0.3">
      <c r="A2" s="489"/>
      <c r="B2" s="491"/>
      <c r="C2" s="491"/>
      <c r="D2" s="229" t="str">
        <f>'150.3.1.29'!B2</f>
        <v>लक्ष्य</v>
      </c>
      <c r="E2" s="229" t="str">
        <f>'150.3.1.29'!C2</f>
        <v>एकाई मूल्य</v>
      </c>
      <c r="F2" s="229" t="str">
        <f>'150.3.1.29'!D2</f>
        <v>जम्मा</v>
      </c>
    </row>
    <row r="3" spans="1:6" ht="22.5" x14ac:dyDescent="0.25">
      <c r="A3" s="16" t="s">
        <v>184</v>
      </c>
      <c r="B3" s="17"/>
      <c r="C3" s="17"/>
      <c r="D3" s="18">
        <v>12</v>
      </c>
      <c r="E3" s="17"/>
      <c r="F3" s="122">
        <f>E3*D3</f>
        <v>0</v>
      </c>
    </row>
    <row r="4" spans="1:6" ht="22.5" x14ac:dyDescent="0.25">
      <c r="A4" s="24"/>
      <c r="B4" s="17"/>
      <c r="C4" s="17"/>
      <c r="D4" s="18"/>
      <c r="E4" s="17"/>
      <c r="F4" s="122">
        <f>E4*D4</f>
        <v>0</v>
      </c>
    </row>
    <row r="5" spans="1:6" ht="24.75" x14ac:dyDescent="0.5">
      <c r="A5" s="21" t="s">
        <v>0</v>
      </c>
      <c r="B5" s="133">
        <f>SUM(B3:B4)</f>
        <v>0</v>
      </c>
      <c r="C5" s="133">
        <f>SUM(C3:C4)</f>
        <v>0</v>
      </c>
      <c r="D5" s="22"/>
      <c r="E5" s="22"/>
      <c r="F5" s="133">
        <f>SUM(F3:F4)</f>
        <v>0</v>
      </c>
    </row>
    <row r="7" spans="1:6" x14ac:dyDescent="0.25">
      <c r="B7"/>
      <c r="C7"/>
    </row>
  </sheetData>
  <sheetProtection algorithmName="SHA-512" hashValue="NXZSRq3/HwsfcLq0ZGGyhR6oU1S81YZYGUOxIb7GA8Hjs8CiXgqK6kt8KcynaB+jZR7zT+KTdHg2DUqP1ygZHA==" saltValue="SAF5CvNYu+MrukYfmYf6cw==" spinCount="100000" sheet="1" formatCells="0" formatColumns="0" formatRows="0" insertColumns="0" insertRows="0" selectLockedCells="1"/>
  <mergeCells count="4">
    <mergeCell ref="A1:A2"/>
    <mergeCell ref="D1:F1"/>
    <mergeCell ref="B1:B2"/>
    <mergeCell ref="C1:C2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D5"/>
  <sheetViews>
    <sheetView workbookViewId="0">
      <selection activeCell="C3" sqref="C3:C4"/>
    </sheetView>
  </sheetViews>
  <sheetFormatPr defaultColWidth="8.7109375" defaultRowHeight="15" x14ac:dyDescent="0.25"/>
  <cols>
    <col min="1" max="1" width="29.42578125" style="2" bestFit="1" customWidth="1"/>
    <col min="2" max="2" width="4.5703125" style="2" bestFit="1" customWidth="1"/>
    <col min="3" max="3" width="8.5703125" style="2" bestFit="1" customWidth="1"/>
    <col min="4" max="4" width="17.7109375" style="2" customWidth="1"/>
    <col min="5" max="16384" width="8.7109375" style="2"/>
  </cols>
  <sheetData>
    <row r="1" spans="1:4" s="236" customFormat="1" ht="23.25" x14ac:dyDescent="0.4">
      <c r="A1" s="488" t="str">
        <f>'150.3.1.30'!A1:A2</f>
        <v>खर्च शिर्षक</v>
      </c>
      <c r="B1" s="471" t="str">
        <f>Home!C4</f>
        <v>आ.व. २०८२/०८३</v>
      </c>
      <c r="C1" s="471"/>
      <c r="D1" s="471"/>
    </row>
    <row r="2" spans="1:4" s="236" customFormat="1" ht="21.75" customHeight="1" x14ac:dyDescent="0.4">
      <c r="A2" s="488"/>
      <c r="B2" s="230" t="str">
        <f>'150.3.1.30'!D2</f>
        <v>लक्ष्य</v>
      </c>
      <c r="C2" s="230" t="str">
        <f>'150.3.1.30'!E2</f>
        <v>एकाई मूल्य</v>
      </c>
      <c r="D2" s="230" t="str">
        <f>'150.3.1.30'!F2</f>
        <v>जम्मा</v>
      </c>
    </row>
    <row r="3" spans="1:4" ht="22.5" x14ac:dyDescent="0.25">
      <c r="A3" s="16" t="s">
        <v>185</v>
      </c>
      <c r="B3" s="18">
        <v>12</v>
      </c>
      <c r="C3" s="17"/>
      <c r="D3" s="122">
        <f>C3*B3</f>
        <v>0</v>
      </c>
    </row>
    <row r="4" spans="1:4" ht="22.5" x14ac:dyDescent="0.25">
      <c r="A4" s="24" t="s">
        <v>186</v>
      </c>
      <c r="B4" s="18">
        <v>12</v>
      </c>
      <c r="C4" s="17"/>
      <c r="D4" s="122">
        <f>C4*B4</f>
        <v>0</v>
      </c>
    </row>
    <row r="5" spans="1:4" ht="24.75" x14ac:dyDescent="0.5">
      <c r="A5" s="21" t="s">
        <v>0</v>
      </c>
      <c r="B5" s="22"/>
      <c r="C5" s="22"/>
      <c r="D5" s="133">
        <f>SUM(D3:D4)</f>
        <v>0</v>
      </c>
    </row>
  </sheetData>
  <sheetProtection algorithmName="SHA-512" hashValue="IVOKjlqqkgtRybrOd/CBIcwsEL5rBI8rUyd29hwxvu7AjTd53FQAXydH25TLfmfj8ONPzg1KmbCMYIQMWJAU3Q==" saltValue="ARi1X9AkDsdvSrL8yixwXg==" spinCount="100000" sheet="1" formatCells="0" formatColumns="0" formatRows="0" insertColumns="0" insertRows="0" selectLockedCells="1"/>
  <mergeCells count="2">
    <mergeCell ref="A1:A2"/>
    <mergeCell ref="B1:D1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D7"/>
  <sheetViews>
    <sheetView workbookViewId="0">
      <selection activeCell="C5" sqref="C5"/>
    </sheetView>
  </sheetViews>
  <sheetFormatPr defaultColWidth="8.7109375" defaultRowHeight="15" x14ac:dyDescent="0.25"/>
  <cols>
    <col min="1" max="1" width="52.42578125" style="2" bestFit="1" customWidth="1"/>
    <col min="2" max="2" width="4.5703125" style="2" bestFit="1" customWidth="1"/>
    <col min="3" max="3" width="11.5703125" style="2" bestFit="1" customWidth="1"/>
    <col min="4" max="4" width="6.28515625" style="2" bestFit="1" customWidth="1"/>
    <col min="5" max="16384" width="8.7109375" style="2"/>
  </cols>
  <sheetData>
    <row r="1" spans="1:4" s="236" customFormat="1" ht="23.25" x14ac:dyDescent="0.4">
      <c r="A1" s="488" t="str">
        <f>'150.3.1.31'!A1:A2</f>
        <v>खर्च शिर्षक</v>
      </c>
      <c r="B1" s="471" t="str">
        <f>Home!C4</f>
        <v>आ.व. २०८२/०८३</v>
      </c>
      <c r="C1" s="471"/>
      <c r="D1" s="471"/>
    </row>
    <row r="2" spans="1:4" s="236" customFormat="1" ht="21.75" customHeight="1" x14ac:dyDescent="0.4">
      <c r="A2" s="488"/>
      <c r="B2" s="230" t="str">
        <f>'150.3.1.31'!B2</f>
        <v>लक्ष्य</v>
      </c>
      <c r="C2" s="230" t="str">
        <f>'150.3.1.31'!C2</f>
        <v>एकाई मूल्य</v>
      </c>
      <c r="D2" s="230" t="str">
        <f>'150.3.1.31'!D2</f>
        <v>जम्मा</v>
      </c>
    </row>
    <row r="3" spans="1:4" ht="22.5" x14ac:dyDescent="0.25">
      <c r="A3" s="16" t="s">
        <v>187</v>
      </c>
      <c r="B3" s="18"/>
      <c r="C3" s="17"/>
      <c r="D3" s="122">
        <f>C3*B3</f>
        <v>0</v>
      </c>
    </row>
    <row r="4" spans="1:4" ht="22.5" x14ac:dyDescent="0.25">
      <c r="A4" s="24" t="s">
        <v>1</v>
      </c>
      <c r="B4" s="18"/>
      <c r="C4" s="17"/>
      <c r="D4" s="122">
        <f t="shared" ref="D4:D6" si="0">C4*B4</f>
        <v>0</v>
      </c>
    </row>
    <row r="5" spans="1:4" ht="22.5" x14ac:dyDescent="0.25">
      <c r="A5" s="24" t="s">
        <v>188</v>
      </c>
      <c r="B5" s="18">
        <v>12</v>
      </c>
      <c r="C5" s="17"/>
      <c r="D5" s="122">
        <f t="shared" si="0"/>
        <v>0</v>
      </c>
    </row>
    <row r="6" spans="1:4" ht="22.5" x14ac:dyDescent="0.25">
      <c r="A6" s="24" t="s">
        <v>189</v>
      </c>
      <c r="B6" s="18"/>
      <c r="C6" s="17"/>
      <c r="D6" s="122">
        <f t="shared" si="0"/>
        <v>0</v>
      </c>
    </row>
    <row r="7" spans="1:4" ht="24.75" x14ac:dyDescent="0.5">
      <c r="A7" s="21" t="s">
        <v>0</v>
      </c>
      <c r="B7" s="22"/>
      <c r="C7" s="22"/>
      <c r="D7" s="133">
        <f>SUM(D3:D6)</f>
        <v>0</v>
      </c>
    </row>
  </sheetData>
  <sheetProtection algorithmName="SHA-512" hashValue="7lesyD18S7b/0yxjKLZQhAEtSSeJ/httM/vlosxJjyfhzKUyVxqTF9LhMsRNULCgKSKGnGKjJ82MSk/4LfiyXg==" saltValue="kCANHjWGNh2BgfBhUDYSJw==" spinCount="100000" sheet="1" formatCells="0" formatColumns="0" formatRows="0" insertColumns="0" insertRows="0" selectLockedCells="1"/>
  <mergeCells count="2">
    <mergeCell ref="A1:A2"/>
    <mergeCell ref="B1:D1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zoomScale="128" workbookViewId="0">
      <selection activeCell="M6" sqref="M6"/>
    </sheetView>
  </sheetViews>
  <sheetFormatPr defaultColWidth="8.7109375" defaultRowHeight="18.75" x14ac:dyDescent="0.4"/>
  <cols>
    <col min="1" max="1" width="31.42578125" style="2" bestFit="1" customWidth="1"/>
    <col min="2" max="2" width="14.140625" style="2" bestFit="1" customWidth="1"/>
    <col min="3" max="3" width="14.5703125" style="2" bestFit="1" customWidth="1"/>
    <col min="4" max="4" width="13" style="2" customWidth="1"/>
    <col min="5" max="5" width="19.5703125" style="2" bestFit="1" customWidth="1"/>
    <col min="6" max="6" width="24.5703125" style="2" bestFit="1" customWidth="1"/>
    <col min="7" max="8" width="8.7109375" style="2"/>
    <col min="9" max="9" width="23.28515625" style="378" customWidth="1"/>
    <col min="10" max="10" width="25.7109375" style="378" customWidth="1"/>
    <col min="11" max="11" width="11.42578125" style="378" bestFit="1" customWidth="1"/>
    <col min="12" max="12" width="8.7109375" style="378"/>
    <col min="13" max="13" width="12.5703125" style="378" bestFit="1" customWidth="1"/>
    <col min="14" max="15" width="8.7109375" style="378"/>
    <col min="16" max="16384" width="8.7109375" style="2"/>
  </cols>
  <sheetData>
    <row r="1" spans="1:15" s="236" customFormat="1" ht="25.5" x14ac:dyDescent="0.5">
      <c r="A1" s="492" t="str">
        <f>'150.3.1.32'!A1:A2</f>
        <v>खर्च शिर्षक</v>
      </c>
      <c r="B1" s="493" t="str">
        <f>Home!A4</f>
        <v>हालको अवस्था</v>
      </c>
      <c r="C1" s="493" t="str">
        <f>Home!B4</f>
        <v>असार मसान्तको</v>
      </c>
      <c r="D1" s="471" t="str">
        <f>Home!C4</f>
        <v>आ.व. २०८२/०८३</v>
      </c>
      <c r="E1" s="471"/>
      <c r="F1" s="471"/>
      <c r="I1" s="377"/>
      <c r="J1" s="377"/>
      <c r="K1" s="377"/>
      <c r="L1" s="377"/>
      <c r="M1" s="377"/>
      <c r="N1" s="377"/>
      <c r="O1" s="377"/>
    </row>
    <row r="2" spans="1:15" s="236" customFormat="1" ht="25.5" x14ac:dyDescent="0.5">
      <c r="A2" s="492"/>
      <c r="B2" s="478"/>
      <c r="C2" s="478"/>
      <c r="D2" s="237" t="str">
        <f>'150.3.1.32'!B2</f>
        <v>लक्ष्य</v>
      </c>
      <c r="E2" s="237" t="str">
        <f>'150.3.1.32'!C2</f>
        <v>एकाई मूल्य</v>
      </c>
      <c r="F2" s="237" t="str">
        <f>'150.3.1.32'!D2</f>
        <v>जम्मा</v>
      </c>
      <c r="I2" s="377"/>
      <c r="J2" s="377"/>
      <c r="K2" s="377"/>
      <c r="L2" s="377"/>
      <c r="M2" s="377"/>
      <c r="N2" s="377"/>
      <c r="O2" s="377"/>
    </row>
    <row r="3" spans="1:15" ht="22.5" x14ac:dyDescent="0.4">
      <c r="A3" s="16" t="s">
        <v>197</v>
      </c>
      <c r="B3" s="253"/>
      <c r="C3" s="253"/>
      <c r="D3" s="347">
        <v>0.08</v>
      </c>
      <c r="E3" s="135">
        <f>('Saving Details WS'!C8+('Saving Details WS'!E8-'Saving Details WS'!C8)/2)</f>
        <v>0</v>
      </c>
      <c r="F3" s="135">
        <f>E3*D3</f>
        <v>0</v>
      </c>
      <c r="I3" s="387" t="s">
        <v>578</v>
      </c>
      <c r="J3" s="383">
        <v>100000</v>
      </c>
      <c r="K3" s="384">
        <v>0.06</v>
      </c>
      <c r="L3" s="385">
        <f>J3/J6</f>
        <v>0.16666666666666666</v>
      </c>
      <c r="M3" s="386">
        <f>K3*L3</f>
        <v>9.9999999999999985E-3</v>
      </c>
    </row>
    <row r="4" spans="1:15" ht="22.5" x14ac:dyDescent="0.4">
      <c r="A4" s="24" t="s">
        <v>198</v>
      </c>
      <c r="B4" s="253"/>
      <c r="C4" s="253"/>
      <c r="D4" s="347">
        <v>0.09</v>
      </c>
      <c r="E4" s="135">
        <f>('Saving Details WS'!C9+('Saving Details WS'!E9-'Saving Details WS'!C9)/2)</f>
        <v>0</v>
      </c>
      <c r="F4" s="135">
        <f t="shared" ref="F4:F6" si="0">E4*D4</f>
        <v>0</v>
      </c>
      <c r="I4" s="387" t="s">
        <v>579</v>
      </c>
      <c r="J4" s="383">
        <v>200000</v>
      </c>
      <c r="K4" s="384">
        <v>5.5E-2</v>
      </c>
      <c r="L4" s="385">
        <f>J4/J6</f>
        <v>0.33333333333333331</v>
      </c>
      <c r="M4" s="386">
        <f t="shared" ref="M4:M5" si="1">K4*L4</f>
        <v>1.8333333333333333E-2</v>
      </c>
    </row>
    <row r="5" spans="1:15" ht="22.5" x14ac:dyDescent="0.4">
      <c r="A5" s="24" t="s">
        <v>199</v>
      </c>
      <c r="B5" s="253"/>
      <c r="C5" s="253"/>
      <c r="D5" s="347">
        <v>0.12</v>
      </c>
      <c r="E5" s="135">
        <f>('Saving Details WS'!C10+('Saving Details WS'!E10-'Saving Details WS'!C10)/2)</f>
        <v>0</v>
      </c>
      <c r="F5" s="135">
        <f t="shared" si="0"/>
        <v>0</v>
      </c>
      <c r="I5" s="387" t="s">
        <v>580</v>
      </c>
      <c r="J5" s="383">
        <v>300000</v>
      </c>
      <c r="K5" s="384">
        <v>0.04</v>
      </c>
      <c r="L5" s="385">
        <f>J5/J6</f>
        <v>0.5</v>
      </c>
      <c r="M5" s="386">
        <f t="shared" si="1"/>
        <v>0.02</v>
      </c>
    </row>
    <row r="6" spans="1:15" ht="27.75" x14ac:dyDescent="0.55000000000000004">
      <c r="A6" s="24" t="s">
        <v>200</v>
      </c>
      <c r="B6" s="253"/>
      <c r="C6" s="253"/>
      <c r="D6" s="347">
        <v>7.9000000000000001E-2</v>
      </c>
      <c r="E6" s="135">
        <f>('Saving Details WS'!C11+('Saving Details WS'!E11-'Saving Details WS'!C11)/2)</f>
        <v>0</v>
      </c>
      <c r="F6" s="135">
        <f t="shared" si="0"/>
        <v>0</v>
      </c>
      <c r="J6" s="381">
        <f>SUM(J3:J5)</f>
        <v>600000</v>
      </c>
      <c r="M6" s="380">
        <f>SUM(M3:M5)</f>
        <v>4.8333333333333332E-2</v>
      </c>
    </row>
    <row r="7" spans="1:15" ht="24.75" x14ac:dyDescent="0.5">
      <c r="A7" s="21" t="s">
        <v>0</v>
      </c>
      <c r="B7" s="133">
        <f>SUM(B3:B6)</f>
        <v>0</v>
      </c>
      <c r="C7" s="133">
        <f>SUM(C3:C6)</f>
        <v>0</v>
      </c>
      <c r="D7" s="22"/>
      <c r="E7" s="39">
        <f>SUM(E3:E6)</f>
        <v>0</v>
      </c>
      <c r="F7" s="133">
        <f>SUM(F3:F6)</f>
        <v>0</v>
      </c>
    </row>
    <row r="8" spans="1:15" ht="27.75" thickBot="1" x14ac:dyDescent="0.6">
      <c r="K8" s="382">
        <f>(K3+K4+K5)/3</f>
        <v>5.1666666666666666E-2</v>
      </c>
      <c r="M8" s="379"/>
    </row>
    <row r="9" spans="1:15" ht="25.5" thickBot="1" x14ac:dyDescent="0.5">
      <c r="A9" s="144" t="s">
        <v>352</v>
      </c>
      <c r="B9" s="144"/>
      <c r="C9" s="144"/>
      <c r="D9" s="145"/>
      <c r="E9" s="145"/>
      <c r="F9" s="146" t="e">
        <f>(E3/E7*D3)+(E4/E7*D4)+(E5/E7*D5)+(E6/E7*D6)</f>
        <v>#DIV/0!</v>
      </c>
    </row>
    <row r="10" spans="1:15" ht="25.5" thickBot="1" x14ac:dyDescent="0.5">
      <c r="A10" s="144" t="s">
        <v>353</v>
      </c>
      <c r="B10" s="144"/>
      <c r="C10" s="144"/>
      <c r="D10" s="145"/>
      <c r="E10" s="146"/>
      <c r="F10" s="146">
        <f>'160.3'!B3</f>
        <v>0.12</v>
      </c>
    </row>
    <row r="11" spans="1:15" ht="25.5" thickBot="1" x14ac:dyDescent="0.5">
      <c r="A11" s="144" t="s">
        <v>354</v>
      </c>
      <c r="B11" s="144"/>
      <c r="C11" s="144"/>
      <c r="D11" s="145"/>
      <c r="E11" s="147"/>
      <c r="F11" s="146" t="e">
        <f>F10-F9</f>
        <v>#DIV/0!</v>
      </c>
    </row>
    <row r="12" spans="1:15" x14ac:dyDescent="0.4">
      <c r="E12" s="143"/>
    </row>
    <row r="13" spans="1:15" x14ac:dyDescent="0.4">
      <c r="E13" s="143"/>
    </row>
  </sheetData>
  <sheetProtection algorithmName="SHA-512" hashValue="9zUu4KsBM0P+MwElhzanqcgNniFtXvW5TKfULRR6n7ANHs2OcLpLD5wLyypwZAEWmYQ9R7Wtt8hAJ47xtq9wJw==" saltValue="PWLvbKzB8ak4zNBkRDFgHQ==" spinCount="100000" sheet="1" formatCells="0" formatColumns="0" formatRows="0" insertColumns="0" insertRows="0" selectLockedCells="1"/>
  <mergeCells count="4">
    <mergeCell ref="A1:A2"/>
    <mergeCell ref="D1:F1"/>
    <mergeCell ref="B1:B2"/>
    <mergeCell ref="C1:C2"/>
  </mergeCells>
  <pageMargins left="0.7" right="0.7" top="0.75" bottom="0.75" header="0.3" footer="0.3"/>
  <pageSetup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D8" sqref="D8"/>
    </sheetView>
  </sheetViews>
  <sheetFormatPr defaultColWidth="8.7109375" defaultRowHeight="15" x14ac:dyDescent="0.25"/>
  <cols>
    <col min="1" max="1" width="24.5703125" style="2" bestFit="1" customWidth="1"/>
    <col min="2" max="2" width="8.5703125" style="2" bestFit="1" customWidth="1"/>
    <col min="3" max="3" width="21.85546875" style="2" bestFit="1" customWidth="1"/>
    <col min="4" max="4" width="17.5703125" style="2" bestFit="1" customWidth="1"/>
    <col min="5" max="16384" width="8.7109375" style="2"/>
  </cols>
  <sheetData>
    <row r="1" spans="1:4" s="236" customFormat="1" ht="23.25" x14ac:dyDescent="0.4">
      <c r="A1" s="492" t="str">
        <f>'150.3.2.1'!A1:A2</f>
        <v>खर्च शिर्षक</v>
      </c>
      <c r="B1" s="471" t="str">
        <f>Home!C4</f>
        <v>आ.व. २०८२/०८३</v>
      </c>
      <c r="C1" s="471"/>
      <c r="D1" s="471"/>
    </row>
    <row r="2" spans="1:4" s="236" customFormat="1" ht="21.75" customHeight="1" x14ac:dyDescent="0.4">
      <c r="A2" s="492"/>
      <c r="B2" s="237" t="str">
        <f>'150.3.2.1'!D2</f>
        <v>लक्ष्य</v>
      </c>
      <c r="C2" s="237" t="str">
        <f>'150.3.2.1'!E2</f>
        <v>एकाई मूल्य</v>
      </c>
      <c r="D2" s="237" t="str">
        <f>'150.3.2.1'!F2</f>
        <v>जम्मा</v>
      </c>
    </row>
    <row r="3" spans="1:4" ht="22.5" x14ac:dyDescent="0.25">
      <c r="A3" s="16" t="s">
        <v>201</v>
      </c>
      <c r="B3" s="97"/>
      <c r="C3" s="136">
        <f>'Final BS'!C10+('Final BS'!D10-'Final BS'!C10)/2</f>
        <v>0</v>
      </c>
      <c r="D3" s="135">
        <f>C3*B3</f>
        <v>0</v>
      </c>
    </row>
    <row r="4" spans="1:4" ht="24.75" x14ac:dyDescent="0.5">
      <c r="A4" s="21" t="s">
        <v>0</v>
      </c>
      <c r="B4" s="22"/>
      <c r="C4" s="22"/>
      <c r="D4" s="133">
        <f>SUM(D3:D3)</f>
        <v>0</v>
      </c>
    </row>
  </sheetData>
  <sheetProtection algorithmName="SHA-512" hashValue="yjAy5nqw540z98HMqX7lZ4s0sA3RRyYz1LlI60hi0Tx1R2EnAubo0xOxkT820rPCaaVuVW5QZ3go844OEuR+Og==" saltValue="Gy3Fd3MsWaYfw6WIp/2l2A==" spinCount="100000" sheet="1" formatCells="0" formatColumns="0" formatRows="0" insertColumns="0" insertRows="0" selectLockedCells="1"/>
  <mergeCells count="2">
    <mergeCell ref="A1:A2"/>
    <mergeCell ref="B1:D1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E3" sqref="E3"/>
    </sheetView>
  </sheetViews>
  <sheetFormatPr defaultColWidth="8.7109375" defaultRowHeight="15" x14ac:dyDescent="0.25"/>
  <cols>
    <col min="1" max="1" width="31.28515625" style="2" bestFit="1" customWidth="1"/>
    <col min="2" max="2" width="9.5703125" style="2" bestFit="1" customWidth="1"/>
    <col min="3" max="3" width="18.5703125" style="2" bestFit="1" customWidth="1"/>
    <col min="4" max="4" width="19.85546875" style="2" bestFit="1" customWidth="1"/>
    <col min="5" max="16384" width="8.7109375" style="2"/>
  </cols>
  <sheetData>
    <row r="1" spans="1:4" s="236" customFormat="1" ht="23.25" x14ac:dyDescent="0.4">
      <c r="A1" s="488" t="str">
        <f>'150.3.2.2'!A1:A2</f>
        <v>खर्च शिर्षक</v>
      </c>
      <c r="B1" s="471" t="str">
        <f>Home!C4</f>
        <v>आ.व. २०८२/०८३</v>
      </c>
      <c r="C1" s="471"/>
      <c r="D1" s="471"/>
    </row>
    <row r="2" spans="1:4" s="236" customFormat="1" ht="21.75" customHeight="1" x14ac:dyDescent="0.4">
      <c r="A2" s="488"/>
      <c r="B2" s="230" t="str">
        <f>'150.3.2.2'!B2</f>
        <v>लक्ष्य</v>
      </c>
      <c r="C2" s="230" t="str">
        <f>'150.3.2.2'!C2</f>
        <v>एकाई मूल्य</v>
      </c>
      <c r="D2" s="230" t="str">
        <f>'150.3.2.2'!D2</f>
        <v>जम्मा</v>
      </c>
    </row>
    <row r="3" spans="1:4" ht="22.5" x14ac:dyDescent="0.25">
      <c r="A3" s="16" t="s">
        <v>202</v>
      </c>
      <c r="B3" s="86">
        <v>1</v>
      </c>
      <c r="C3" s="137">
        <f>'Loan Aging WS'!O6</f>
        <v>0</v>
      </c>
      <c r="D3" s="122">
        <f>C3*B3</f>
        <v>0</v>
      </c>
    </row>
    <row r="4" spans="1:4" ht="24.75" x14ac:dyDescent="0.5">
      <c r="A4" s="21" t="s">
        <v>0</v>
      </c>
      <c r="B4" s="22"/>
      <c r="C4" s="22"/>
      <c r="D4" s="133">
        <f>SUM(D3:D3)</f>
        <v>0</v>
      </c>
    </row>
  </sheetData>
  <sheetProtection algorithmName="SHA-512" hashValue="V4FB+XWkB6aGtUyvFgGTkn7k2T/UQTIQiOLqAwIRrAdd8YdOeAeHDTYy2BdFrxmV8zQXj2nkHsTmX3SO1gb1Gw==" saltValue="5YXhclRvvA0zDDd7KxWxbg==" spinCount="100000" sheet="1" formatCells="0" formatColumns="0" formatRows="0" insertColumns="0" insertRows="0" selectLockedCells="1"/>
  <mergeCells count="2">
    <mergeCell ref="A1:A2"/>
    <mergeCell ref="B1:D1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C3" sqref="C3"/>
    </sheetView>
  </sheetViews>
  <sheetFormatPr defaultColWidth="8.7109375" defaultRowHeight="15" x14ac:dyDescent="0.25"/>
  <cols>
    <col min="1" max="1" width="26.85546875" style="2" bestFit="1" customWidth="1"/>
    <col min="2" max="2" width="16.5703125" style="2" bestFit="1" customWidth="1"/>
    <col min="3" max="3" width="11.42578125" style="2" bestFit="1" customWidth="1"/>
    <col min="4" max="4" width="17" style="2" bestFit="1" customWidth="1"/>
    <col min="5" max="16384" width="8.7109375" style="2"/>
  </cols>
  <sheetData>
    <row r="1" spans="1:4" s="236" customFormat="1" ht="23.25" x14ac:dyDescent="0.4">
      <c r="A1" s="495" t="s">
        <v>343</v>
      </c>
      <c r="B1" s="494" t="str">
        <f>'150.3.3'!B1:D1</f>
        <v>आ.व. २०८२/०८३</v>
      </c>
      <c r="C1" s="494"/>
      <c r="D1" s="494"/>
    </row>
    <row r="2" spans="1:4" s="236" customFormat="1" ht="21.75" customHeight="1" x14ac:dyDescent="0.4">
      <c r="A2" s="496"/>
      <c r="B2" s="230" t="s">
        <v>507</v>
      </c>
      <c r="C2" s="230" t="s">
        <v>508</v>
      </c>
      <c r="D2" s="230" t="s">
        <v>394</v>
      </c>
    </row>
    <row r="3" spans="1:4" ht="22.5" x14ac:dyDescent="0.35">
      <c r="A3" s="91" t="s">
        <v>203</v>
      </c>
      <c r="B3" s="104">
        <f>'Final BS'!C19+('Final BS'!D19-'Final BS'!C19)/2</f>
        <v>0</v>
      </c>
      <c r="C3" s="107">
        <v>0</v>
      </c>
      <c r="D3" s="104">
        <f>C3*B3</f>
        <v>0</v>
      </c>
    </row>
    <row r="4" spans="1:4" s="46" customFormat="1" ht="23.25" thickBot="1" x14ac:dyDescent="0.4">
      <c r="A4" s="93" t="s">
        <v>0</v>
      </c>
      <c r="B4" s="99"/>
      <c r="C4" s="99"/>
      <c r="D4" s="102">
        <f>SUM(D3)</f>
        <v>0</v>
      </c>
    </row>
  </sheetData>
  <sheetProtection algorithmName="SHA-512" hashValue="UAVKD5nzwJkCyutjhw0HH2ZCRyjU4ahrp3Z5Ez6oIJ5WFuQh/XKusjrRuTcm0/w7VfZdJnm806LgWO3at0zStg==" saltValue="+/Kh7v4aO0ookdIYQsBPkw==" spinCount="100000" sheet="1" formatCells="0" formatColumns="0" formatRows="0" insertColumns="0" insertRows="0" selectLockedCells="1"/>
  <mergeCells count="2">
    <mergeCell ref="B1:D1"/>
    <mergeCell ref="A1:A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"/>
  <sheetViews>
    <sheetView zoomScale="130" zoomScaleNormal="100" workbookViewId="0">
      <pane xSplit="1" ySplit="3" topLeftCell="K4" activePane="bottomRight" state="frozen"/>
      <selection pane="topRight" activeCell="B1" sqref="B1"/>
      <selection pane="bottomLeft" activeCell="A4" sqref="A4"/>
      <selection pane="bottomRight" activeCell="P5" sqref="P5"/>
    </sheetView>
  </sheetViews>
  <sheetFormatPr defaultColWidth="0" defaultRowHeight="15" x14ac:dyDescent="0.2"/>
  <cols>
    <col min="1" max="1" width="27.42578125" style="1" bestFit="1" customWidth="1"/>
    <col min="2" max="2" width="20.42578125" style="1" bestFit="1" customWidth="1"/>
    <col min="3" max="3" width="17.7109375" style="1" bestFit="1" customWidth="1"/>
    <col min="4" max="4" width="16.28515625" style="5" bestFit="1" customWidth="1"/>
    <col min="5" max="6" width="15.42578125" style="5" bestFit="1" customWidth="1"/>
    <col min="7" max="7" width="11.42578125" style="5" bestFit="1" customWidth="1"/>
    <col min="8" max="8" width="15" style="5" bestFit="1" customWidth="1"/>
    <col min="9" max="9" width="12.28515625" style="5" bestFit="1" customWidth="1"/>
    <col min="10" max="10" width="16" style="5" bestFit="1" customWidth="1"/>
    <col min="11" max="11" width="17.5703125" style="5" bestFit="1" customWidth="1"/>
    <col min="12" max="12" width="14.7109375" style="5" bestFit="1" customWidth="1"/>
    <col min="13" max="13" width="14.5703125" style="5" bestFit="1" customWidth="1"/>
    <col min="14" max="14" width="20.140625" style="5" bestFit="1" customWidth="1"/>
    <col min="15" max="15" width="16.5703125" style="5" bestFit="1" customWidth="1"/>
    <col min="16" max="16" width="17.5703125" style="5" bestFit="1" customWidth="1"/>
    <col min="17" max="20" width="0" style="1" hidden="1" customWidth="1"/>
    <col min="21" max="21" width="9.140625" style="1" hidden="1" customWidth="1"/>
    <col min="22" max="22" width="12.85546875" style="1" hidden="1" customWidth="1"/>
    <col min="23" max="23" width="9.140625" style="1" hidden="1" customWidth="1"/>
    <col min="24" max="33" width="0" style="1" hidden="1" customWidth="1"/>
    <col min="34" max="34" width="9.140625" style="1" hidden="1" customWidth="1"/>
    <col min="35" max="35" width="12.85546875" style="1" hidden="1" customWidth="1"/>
    <col min="36" max="36" width="9.140625" style="1" hidden="1" customWidth="1"/>
    <col min="37" max="39" width="0" style="1" hidden="1" customWidth="1"/>
    <col min="40" max="16384" width="9.140625" style="1" hidden="1"/>
  </cols>
  <sheetData>
    <row r="1" spans="1:16" x14ac:dyDescent="0.2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x14ac:dyDescent="0.2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s="187" customFormat="1" ht="67.5" customHeight="1" x14ac:dyDescent="0.25">
      <c r="A3" s="185" t="s">
        <v>195</v>
      </c>
      <c r="B3" s="185" t="s">
        <v>359</v>
      </c>
      <c r="C3" s="185" t="s">
        <v>360</v>
      </c>
      <c r="D3" s="186" t="s">
        <v>361</v>
      </c>
      <c r="E3" s="186" t="s">
        <v>362</v>
      </c>
      <c r="F3" s="186" t="s">
        <v>363</v>
      </c>
      <c r="G3" s="186" t="s">
        <v>364</v>
      </c>
      <c r="H3" s="186" t="s">
        <v>365</v>
      </c>
      <c r="I3" s="186" t="s">
        <v>366</v>
      </c>
      <c r="J3" s="186" t="s">
        <v>367</v>
      </c>
      <c r="K3" s="186" t="s">
        <v>368</v>
      </c>
      <c r="L3" s="186" t="s">
        <v>369</v>
      </c>
      <c r="M3" s="186" t="s">
        <v>370</v>
      </c>
      <c r="N3" s="186" t="s">
        <v>371</v>
      </c>
      <c r="O3" s="186" t="s">
        <v>372</v>
      </c>
      <c r="P3" s="186" t="s">
        <v>373</v>
      </c>
    </row>
    <row r="4" spans="1:16" s="4" customFormat="1" ht="30.75" x14ac:dyDescent="0.4">
      <c r="A4" s="266" t="str">
        <f>Home!A4</f>
        <v>हालको अवस्था</v>
      </c>
      <c r="B4" s="374">
        <f>'BS WS'!B25</f>
        <v>0</v>
      </c>
      <c r="C4" s="77">
        <f>100%-E4</f>
        <v>1</v>
      </c>
      <c r="D4" s="267">
        <f t="shared" ref="D4:D6" si="0">C4*B4</f>
        <v>0</v>
      </c>
      <c r="E4" s="325"/>
      <c r="F4" s="267">
        <f t="shared" ref="F4:F6" si="1">B4*E4</f>
        <v>0</v>
      </c>
      <c r="G4" s="325"/>
      <c r="H4" s="267">
        <f t="shared" ref="H4:H6" si="2">F4*G4</f>
        <v>0</v>
      </c>
      <c r="I4" s="325"/>
      <c r="J4" s="267">
        <f t="shared" ref="J4:J6" si="3">I4*F4</f>
        <v>0</v>
      </c>
      <c r="K4" s="77">
        <f>100%-(G4+I4)</f>
        <v>1</v>
      </c>
      <c r="L4" s="267">
        <f t="shared" ref="L4:L6" si="4">K4*F4</f>
        <v>0</v>
      </c>
      <c r="M4" s="267">
        <f>(D4*1%+H4*1%+J4*35%+L4)</f>
        <v>0</v>
      </c>
      <c r="N4" s="265"/>
      <c r="O4" s="6"/>
      <c r="P4" s="6"/>
    </row>
    <row r="5" spans="1:16" ht="27.75" x14ac:dyDescent="0.5">
      <c r="A5" s="268" t="str">
        <f>Home!B4</f>
        <v>असार मसान्तको</v>
      </c>
      <c r="B5" s="269">
        <f>'BS WS'!E25</f>
        <v>0</v>
      </c>
      <c r="C5" s="77">
        <f t="shared" ref="C5:C6" si="5">100%-E5</f>
        <v>1</v>
      </c>
      <c r="D5" s="267">
        <f>C5*B5</f>
        <v>0</v>
      </c>
      <c r="E5" s="325"/>
      <c r="F5" s="267">
        <f t="shared" si="1"/>
        <v>0</v>
      </c>
      <c r="G5" s="325"/>
      <c r="H5" s="267">
        <f t="shared" si="2"/>
        <v>0</v>
      </c>
      <c r="I5" s="325"/>
      <c r="J5" s="267">
        <f t="shared" si="3"/>
        <v>0</v>
      </c>
      <c r="K5" s="77">
        <f t="shared" ref="K5:K6" si="6">100%-(G5+I5)</f>
        <v>1</v>
      </c>
      <c r="L5" s="267">
        <f t="shared" si="4"/>
        <v>0</v>
      </c>
      <c r="M5" s="267">
        <f t="shared" ref="M5:M6" si="7">(D5*1%+H5*1%+J5*35%+L5)</f>
        <v>0</v>
      </c>
      <c r="N5" s="265">
        <f>M5-'BS WS'!B14</f>
        <v>0</v>
      </c>
      <c r="O5" s="7"/>
      <c r="P5" s="7"/>
    </row>
    <row r="6" spans="1:16" ht="27.75" x14ac:dyDescent="0.5">
      <c r="A6" s="268" t="str">
        <f>Home!C4</f>
        <v>आ.व. २०८२/०८३</v>
      </c>
      <c r="B6" s="269">
        <f>'BS WS'!G25</f>
        <v>0</v>
      </c>
      <c r="C6" s="77">
        <f t="shared" si="5"/>
        <v>1</v>
      </c>
      <c r="D6" s="267">
        <f t="shared" si="0"/>
        <v>0</v>
      </c>
      <c r="E6" s="325"/>
      <c r="F6" s="267">
        <f t="shared" si="1"/>
        <v>0</v>
      </c>
      <c r="G6" s="325"/>
      <c r="H6" s="267">
        <f t="shared" si="2"/>
        <v>0</v>
      </c>
      <c r="I6" s="325"/>
      <c r="J6" s="267">
        <f t="shared" si="3"/>
        <v>0</v>
      </c>
      <c r="K6" s="77">
        <f t="shared" si="6"/>
        <v>1</v>
      </c>
      <c r="L6" s="267">
        <f t="shared" si="4"/>
        <v>0</v>
      </c>
      <c r="M6" s="267">
        <f t="shared" si="7"/>
        <v>0</v>
      </c>
      <c r="N6" s="267">
        <f>M6-'BS WS'!E14</f>
        <v>0</v>
      </c>
      <c r="O6" s="7"/>
      <c r="P6" s="270">
        <f>'BS WS'!E14+'Loan Aging WS'!O6-'Loan Aging WS'!M6</f>
        <v>0</v>
      </c>
    </row>
    <row r="7" spans="1:16" ht="24.75" x14ac:dyDescent="0.3">
      <c r="A7" s="175"/>
    </row>
    <row r="8" spans="1:16" ht="18" x14ac:dyDescent="0.35">
      <c r="D8" s="356"/>
    </row>
  </sheetData>
  <sheetProtection algorithmName="SHA-512" hashValue="RfjKHm7Sp8m3v+woG+EWN9hRsa6GT+YxxqFVNNJ8GYigEvm0kq6aeRuMDWviuFuCwpGsR+JUyotWdlWtn73c3A==" saltValue="oNVOCEj3ejEOt737K04/pQ==" spinCount="100000" sheet="1" formatCells="0" formatColumns="0" formatRows="0" insertColumns="0" insertRows="0" selectLockedCells="1"/>
  <pageMargins left="0.7" right="0.7" top="0.75" bottom="0.75" header="0.3" footer="0.3"/>
  <pageSetup orientation="portrait" horizontalDpi="1200" verticalDpi="120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E3" sqref="E3"/>
    </sheetView>
  </sheetViews>
  <sheetFormatPr defaultColWidth="8.7109375" defaultRowHeight="15" x14ac:dyDescent="0.25"/>
  <cols>
    <col min="1" max="1" width="26.85546875" style="2" bestFit="1" customWidth="1"/>
    <col min="2" max="2" width="11.28515625" style="2" customWidth="1"/>
    <col min="3" max="3" width="20.5703125" style="2" bestFit="1" customWidth="1"/>
    <col min="4" max="4" width="20" style="2" bestFit="1" customWidth="1"/>
    <col min="5" max="16384" width="8.7109375" style="2"/>
  </cols>
  <sheetData>
    <row r="1" spans="1:4" s="236" customFormat="1" ht="23.25" x14ac:dyDescent="0.4">
      <c r="A1" s="495" t="str">
        <f>'160.1'!A1:A2</f>
        <v>आम्दानी शिर्षक</v>
      </c>
      <c r="B1" s="494" t="str">
        <f>'150.3.3'!B1:D1</f>
        <v>आ.व. २०८२/०८३</v>
      </c>
      <c r="C1" s="494"/>
      <c r="D1" s="494"/>
    </row>
    <row r="2" spans="1:4" s="236" customFormat="1" ht="21.75" customHeight="1" x14ac:dyDescent="0.4">
      <c r="A2" s="496"/>
      <c r="B2" s="230" t="str">
        <f>'160.1'!B2</f>
        <v>लक्ष्य</v>
      </c>
      <c r="C2" s="230" t="str">
        <f>'160.1'!C2</f>
        <v>एकाई मूल्य</v>
      </c>
      <c r="D2" s="230" t="str">
        <f>'160.1'!D2</f>
        <v>जम्मा</v>
      </c>
    </row>
    <row r="3" spans="1:4" ht="22.5" x14ac:dyDescent="0.35">
      <c r="A3" s="91" t="s">
        <v>205</v>
      </c>
      <c r="B3" s="98">
        <v>0.12</v>
      </c>
      <c r="C3" s="104">
        <f>'Final BS'!C20+('Final BS'!D20-'Final BS'!C20)/2</f>
        <v>0</v>
      </c>
      <c r="D3" s="104">
        <f>C3*B3</f>
        <v>0</v>
      </c>
    </row>
    <row r="4" spans="1:4" s="46" customFormat="1" ht="23.25" thickBot="1" x14ac:dyDescent="0.4">
      <c r="A4" s="93" t="s">
        <v>0</v>
      </c>
      <c r="B4" s="99"/>
      <c r="C4" s="99"/>
      <c r="D4" s="102">
        <f>SUM(D3)</f>
        <v>0</v>
      </c>
    </row>
  </sheetData>
  <sheetProtection algorithmName="SHA-512" hashValue="pGkO/nZh36xAnU+QGYk5BysqkZORKN4ahTNhHxIJn8N6ej4pUP9oEC9Nq13+KOQLmk1WsZK6XAqDN4bwE6tj2g==" saltValue="oHfGzj9ujV/e8m6DytkI7Q==" spinCount="100000" sheet="1" formatCells="0" formatColumns="0" formatRows="0" insertColumns="0" insertRows="0" selectLockedCells="1"/>
  <mergeCells count="2">
    <mergeCell ref="A1:A2"/>
    <mergeCell ref="B1:D1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F10"/>
  <sheetViews>
    <sheetView zoomScale="121" workbookViewId="0">
      <selection activeCell="E3" sqref="E3"/>
    </sheetView>
  </sheetViews>
  <sheetFormatPr defaultColWidth="8.7109375" defaultRowHeight="15" x14ac:dyDescent="0.25"/>
  <cols>
    <col min="1" max="1" width="25.140625" style="2" bestFit="1" customWidth="1"/>
    <col min="2" max="3" width="25.140625" style="2" customWidth="1"/>
    <col min="4" max="4" width="19.7109375" style="2" bestFit="1" customWidth="1"/>
    <col min="5" max="5" width="11.42578125" style="2" bestFit="1" customWidth="1"/>
    <col min="6" max="6" width="18.28515625" style="2" bestFit="1" customWidth="1"/>
    <col min="7" max="16384" width="8.7109375" style="2"/>
  </cols>
  <sheetData>
    <row r="1" spans="1:6" s="236" customFormat="1" ht="23.25" x14ac:dyDescent="0.4">
      <c r="A1" s="495" t="str">
        <f>'160.3'!A1:A2</f>
        <v>आम्दानी शिर्षक</v>
      </c>
      <c r="B1" s="497" t="str">
        <f>Home!A4</f>
        <v>हालको अवस्था</v>
      </c>
      <c r="C1" s="497" t="str">
        <f>Home!B4</f>
        <v>असार मसान्तको</v>
      </c>
      <c r="D1" s="494">
        <f>'150.3.3'!B1:D1</f>
        <v>0</v>
      </c>
      <c r="E1" s="494"/>
      <c r="F1" s="494"/>
    </row>
    <row r="2" spans="1:6" s="236" customFormat="1" ht="21.75" x14ac:dyDescent="0.4">
      <c r="A2" s="496"/>
      <c r="B2" s="498"/>
      <c r="C2" s="498"/>
      <c r="D2" s="230" t="str">
        <f>'160.3'!B2</f>
        <v>लक्ष्य</v>
      </c>
      <c r="E2" s="230" t="str">
        <f>'160.3'!C2</f>
        <v>एकाई मूल्य</v>
      </c>
      <c r="F2" s="230" t="str">
        <f>'160.3'!D2</f>
        <v>जम्मा</v>
      </c>
    </row>
    <row r="3" spans="1:6" ht="45" x14ac:dyDescent="0.25">
      <c r="A3" s="94" t="s">
        <v>206</v>
      </c>
      <c r="B3" s="138"/>
      <c r="C3" s="138"/>
      <c r="D3" s="56">
        <v>12</v>
      </c>
      <c r="E3" s="138"/>
      <c r="F3" s="124">
        <f>D3*E3</f>
        <v>0</v>
      </c>
    </row>
    <row r="4" spans="1:6" ht="22.5" x14ac:dyDescent="0.25">
      <c r="A4" s="94" t="s">
        <v>207</v>
      </c>
      <c r="B4" s="138"/>
      <c r="C4" s="138"/>
      <c r="D4" s="56">
        <v>12</v>
      </c>
      <c r="E4" s="138">
        <v>0</v>
      </c>
      <c r="F4" s="124">
        <f t="shared" ref="F4:F9" si="0">D4*E4</f>
        <v>0</v>
      </c>
    </row>
    <row r="5" spans="1:6" ht="22.5" x14ac:dyDescent="0.25">
      <c r="A5" s="94" t="s">
        <v>289</v>
      </c>
      <c r="B5" s="138"/>
      <c r="C5" s="138"/>
      <c r="D5" s="139">
        <f>'Final BS'!C18+('Final BS'!D18-'Final BS'!C18)/2</f>
        <v>0</v>
      </c>
      <c r="E5" s="140">
        <v>7.0000000000000007E-2</v>
      </c>
      <c r="F5" s="124">
        <f t="shared" si="0"/>
        <v>0</v>
      </c>
    </row>
    <row r="6" spans="1:6" ht="22.5" x14ac:dyDescent="0.25">
      <c r="A6" s="92"/>
      <c r="B6" s="138"/>
      <c r="C6" s="138"/>
      <c r="D6" s="56"/>
      <c r="E6" s="138"/>
      <c r="F6" s="124">
        <f t="shared" si="0"/>
        <v>0</v>
      </c>
    </row>
    <row r="7" spans="1:6" ht="22.5" x14ac:dyDescent="0.25">
      <c r="A7" s="92"/>
      <c r="B7" s="138"/>
      <c r="C7" s="138"/>
      <c r="D7" s="56"/>
      <c r="E7" s="138"/>
      <c r="F7" s="124">
        <f t="shared" si="0"/>
        <v>0</v>
      </c>
    </row>
    <row r="8" spans="1:6" ht="22.5" x14ac:dyDescent="0.25">
      <c r="A8" s="92"/>
      <c r="B8" s="138"/>
      <c r="C8" s="138"/>
      <c r="D8" s="56"/>
      <c r="E8" s="138"/>
      <c r="F8" s="124">
        <f t="shared" si="0"/>
        <v>0</v>
      </c>
    </row>
    <row r="9" spans="1:6" ht="22.5" x14ac:dyDescent="0.25">
      <c r="A9" s="92"/>
      <c r="B9" s="138"/>
      <c r="C9" s="138"/>
      <c r="D9" s="56"/>
      <c r="E9" s="138"/>
      <c r="F9" s="124">
        <f t="shared" si="0"/>
        <v>0</v>
      </c>
    </row>
    <row r="10" spans="1:6" s="46" customFormat="1" ht="23.25" thickBot="1" x14ac:dyDescent="0.4">
      <c r="A10" s="93" t="s">
        <v>0</v>
      </c>
      <c r="B10" s="102">
        <f>SUM(B3:B9)</f>
        <v>0</v>
      </c>
      <c r="C10" s="102">
        <f>SUM(C3:C9)</f>
        <v>0</v>
      </c>
      <c r="D10" s="99"/>
      <c r="E10" s="99"/>
      <c r="F10" s="102">
        <f>SUM(F3:F9)</f>
        <v>0</v>
      </c>
    </row>
  </sheetData>
  <sheetProtection algorithmName="SHA-512" hashValue="L77qkj1i8a6kFX4sVmPfVjur//e09GljPjArYZj1046/rChBc+iewkbajcBPXr2kmWZkKPf6IQ1JAK11K4eV6A==" saltValue="P0ptW8DNZDV1bDzMmuiQlg==" spinCount="100000" sheet="1" formatCells="0" formatColumns="0" formatRows="0" insertColumns="0" insertRows="0" selectLockedCells="1"/>
  <mergeCells count="4">
    <mergeCell ref="A1:A2"/>
    <mergeCell ref="D1:F1"/>
    <mergeCell ref="B1:B2"/>
    <mergeCell ref="C1:C2"/>
  </mergeCells>
  <pageMargins left="0.7" right="0.7" top="0.75" bottom="0.75" header="0.3" footer="0.3"/>
  <pageSetup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F8"/>
  <sheetViews>
    <sheetView workbookViewId="0">
      <selection activeCell="E3" sqref="E3:E5"/>
    </sheetView>
  </sheetViews>
  <sheetFormatPr defaultColWidth="8.7109375" defaultRowHeight="15" x14ac:dyDescent="0.25"/>
  <cols>
    <col min="1" max="1" width="34.42578125" style="2" bestFit="1" customWidth="1"/>
    <col min="2" max="2" width="14.140625" style="2" bestFit="1" customWidth="1"/>
    <col min="3" max="3" width="14.5703125" style="2" bestFit="1" customWidth="1"/>
    <col min="4" max="4" width="19.28515625" style="2" bestFit="1" customWidth="1"/>
    <col min="5" max="5" width="12.42578125" style="2" bestFit="1" customWidth="1"/>
    <col min="6" max="6" width="18.28515625" style="2" bestFit="1" customWidth="1"/>
    <col min="7" max="16384" width="8.7109375" style="2"/>
  </cols>
  <sheetData>
    <row r="1" spans="1:6" s="198" customFormat="1" ht="24" thickBot="1" x14ac:dyDescent="0.55000000000000004">
      <c r="A1" s="495" t="str">
        <f>'160.4'!A1:A2</f>
        <v>आम्दानी शिर्षक</v>
      </c>
      <c r="B1" s="499" t="str">
        <f>Home!A4</f>
        <v>हालको अवस्था</v>
      </c>
      <c r="C1" s="499" t="str">
        <f>Home!B4</f>
        <v>असार मसान्तको</v>
      </c>
      <c r="D1" s="494">
        <f>'150.3.3'!B1:D1</f>
        <v>0</v>
      </c>
      <c r="E1" s="494"/>
      <c r="F1" s="494"/>
    </row>
    <row r="2" spans="1:6" s="236" customFormat="1" ht="21.75" x14ac:dyDescent="0.4">
      <c r="A2" s="496"/>
      <c r="B2" s="500"/>
      <c r="C2" s="500"/>
      <c r="D2" s="244" t="str">
        <f>'160.4'!D2</f>
        <v>लक्ष्य</v>
      </c>
      <c r="E2" s="244" t="str">
        <f>'160.4'!E2</f>
        <v>एकाई मूल्य</v>
      </c>
      <c r="F2" s="244" t="str">
        <f>'160.4'!F2</f>
        <v>जम्मा</v>
      </c>
    </row>
    <row r="3" spans="1:6" ht="22.5" x14ac:dyDescent="0.25">
      <c r="A3" s="94" t="s">
        <v>208</v>
      </c>
      <c r="B3" s="17"/>
      <c r="C3" s="17"/>
      <c r="D3" s="148">
        <f>'Final BS'!C20*60%+'Final BS'!D20-'Final BS'!C20</f>
        <v>0</v>
      </c>
      <c r="E3" s="100"/>
      <c r="F3" s="148">
        <f>D3*E3</f>
        <v>0</v>
      </c>
    </row>
    <row r="4" spans="1:6" ht="22.5" x14ac:dyDescent="0.25">
      <c r="A4" s="94" t="s">
        <v>209</v>
      </c>
      <c r="B4" s="17"/>
      <c r="C4" s="17"/>
      <c r="D4" s="17"/>
      <c r="E4" s="17"/>
      <c r="F4" s="101">
        <f t="shared" ref="F4:F7" si="0">D4*E4</f>
        <v>0</v>
      </c>
    </row>
    <row r="5" spans="1:6" ht="22.5" x14ac:dyDescent="0.25">
      <c r="A5" s="94" t="s">
        <v>147</v>
      </c>
      <c r="B5" s="17"/>
      <c r="C5" s="17"/>
      <c r="D5" s="348">
        <f>D3</f>
        <v>0</v>
      </c>
      <c r="E5" s="100"/>
      <c r="F5" s="101">
        <f t="shared" si="0"/>
        <v>0</v>
      </c>
    </row>
    <row r="6" spans="1:6" ht="22.5" x14ac:dyDescent="0.25">
      <c r="A6" s="92"/>
      <c r="B6" s="17"/>
      <c r="C6" s="17"/>
      <c r="D6" s="17"/>
      <c r="E6" s="17"/>
      <c r="F6" s="101">
        <f t="shared" si="0"/>
        <v>0</v>
      </c>
    </row>
    <row r="7" spans="1:6" ht="22.5" x14ac:dyDescent="0.25">
      <c r="A7" s="92"/>
      <c r="B7" s="17"/>
      <c r="C7" s="17"/>
      <c r="D7" s="17"/>
      <c r="E7" s="17"/>
      <c r="F7" s="101">
        <f t="shared" si="0"/>
        <v>0</v>
      </c>
    </row>
    <row r="8" spans="1:6" s="46" customFormat="1" ht="23.25" thickBot="1" x14ac:dyDescent="0.4">
      <c r="A8" s="93" t="s">
        <v>0</v>
      </c>
      <c r="B8" s="102">
        <f>SUM(B3:B7)</f>
        <v>0</v>
      </c>
      <c r="C8" s="102">
        <f>SUM(C3:C7)</f>
        <v>0</v>
      </c>
      <c r="D8" s="99"/>
      <c r="E8" s="99"/>
      <c r="F8" s="102">
        <f>SUM(F3:F7)</f>
        <v>0</v>
      </c>
    </row>
  </sheetData>
  <sheetProtection algorithmName="SHA-512" hashValue="CMGDlrptuBL1Jxbv/HI1IDMvMyv/PgLvbvyUbC872krPxwTmUsGAt5maDrBCyk8XVb9JgD3NX6kyzUtWNJkO/A==" saltValue="MIJuMyMClYiEteR4e1OEcw==" spinCount="100000" sheet="1" formatCells="0" formatColumns="0" formatRows="0" insertColumns="0" insertRows="0" selectLockedCells="1"/>
  <mergeCells count="4">
    <mergeCell ref="A1:A2"/>
    <mergeCell ref="D1:F1"/>
    <mergeCell ref="B1:B2"/>
    <mergeCell ref="C1:C2"/>
  </mergeCell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A6" sqref="A6"/>
    </sheetView>
  </sheetViews>
  <sheetFormatPr defaultColWidth="8.7109375" defaultRowHeight="15" x14ac:dyDescent="0.25"/>
  <cols>
    <col min="1" max="1" width="18" style="2" bestFit="1" customWidth="1"/>
    <col min="2" max="3" width="18" style="2" customWidth="1"/>
    <col min="4" max="4" width="6.85546875" style="2" bestFit="1" customWidth="1"/>
    <col min="5" max="5" width="12.42578125" style="2" bestFit="1" customWidth="1"/>
    <col min="6" max="6" width="16.140625" style="2" bestFit="1" customWidth="1"/>
    <col min="7" max="16384" width="8.7109375" style="2"/>
  </cols>
  <sheetData>
    <row r="1" spans="1:6" s="236" customFormat="1" ht="24" thickBot="1" x14ac:dyDescent="0.45">
      <c r="A1" s="495" t="str">
        <f>'160.5'!A1:A2</f>
        <v>आम्दानी शिर्षक</v>
      </c>
      <c r="B1" s="501" t="str">
        <f>Home!A4</f>
        <v>हालको अवस्था</v>
      </c>
      <c r="C1" s="501" t="str">
        <f>Home!B4</f>
        <v>असार मसान्तको</v>
      </c>
      <c r="D1" s="494">
        <f>'150.3.3'!B1:D1</f>
        <v>0</v>
      </c>
      <c r="E1" s="494"/>
      <c r="F1" s="494"/>
    </row>
    <row r="2" spans="1:6" s="236" customFormat="1" ht="21.75" x14ac:dyDescent="0.4">
      <c r="A2" s="496"/>
      <c r="B2" s="502"/>
      <c r="C2" s="502"/>
      <c r="D2" s="244" t="str">
        <f>'160.5'!D2</f>
        <v>लक्ष्य</v>
      </c>
      <c r="E2" s="244" t="str">
        <f>'160.5'!E2</f>
        <v>एकाई मूल्य</v>
      </c>
      <c r="F2" s="244" t="str">
        <f>'160.5'!F2</f>
        <v>जम्मा</v>
      </c>
    </row>
    <row r="3" spans="1:6" ht="22.5" x14ac:dyDescent="0.25">
      <c r="A3" s="94" t="s">
        <v>3</v>
      </c>
      <c r="B3" s="17"/>
      <c r="C3" s="17"/>
      <c r="D3" s="101">
        <f>'Member Projection sheet '!F4</f>
        <v>241</v>
      </c>
      <c r="E3" s="17">
        <v>10</v>
      </c>
      <c r="F3" s="101">
        <f>D3*E3</f>
        <v>2410</v>
      </c>
    </row>
    <row r="4" spans="1:6" ht="45" x14ac:dyDescent="0.25">
      <c r="A4" s="94" t="s">
        <v>4</v>
      </c>
      <c r="B4" s="17"/>
      <c r="C4" s="17"/>
      <c r="D4" s="17"/>
      <c r="E4" s="17"/>
      <c r="F4" s="101">
        <f t="shared" ref="F4:F7" si="0">D4*E4</f>
        <v>0</v>
      </c>
    </row>
    <row r="5" spans="1:6" ht="22.5" x14ac:dyDescent="0.25">
      <c r="A5" s="94" t="s">
        <v>210</v>
      </c>
      <c r="B5" s="17"/>
      <c r="C5" s="17"/>
      <c r="D5" s="101">
        <f>D3</f>
        <v>241</v>
      </c>
      <c r="E5" s="17"/>
      <c r="F5" s="101">
        <f t="shared" si="0"/>
        <v>0</v>
      </c>
    </row>
    <row r="6" spans="1:6" ht="22.5" x14ac:dyDescent="0.25">
      <c r="A6" s="92"/>
      <c r="B6" s="17"/>
      <c r="C6" s="17"/>
      <c r="D6" s="17"/>
      <c r="E6" s="17"/>
      <c r="F6" s="101">
        <f t="shared" si="0"/>
        <v>0</v>
      </c>
    </row>
    <row r="7" spans="1:6" ht="22.5" x14ac:dyDescent="0.25">
      <c r="A7" s="92"/>
      <c r="B7" s="17"/>
      <c r="C7" s="17"/>
      <c r="D7" s="17"/>
      <c r="E7" s="17"/>
      <c r="F7" s="101">
        <f t="shared" si="0"/>
        <v>0</v>
      </c>
    </row>
    <row r="8" spans="1:6" s="46" customFormat="1" ht="23.25" thickBot="1" x14ac:dyDescent="0.4">
      <c r="A8" s="93" t="s">
        <v>0</v>
      </c>
      <c r="B8" s="102">
        <f>SUM(B3:B7)</f>
        <v>0</v>
      </c>
      <c r="C8" s="102">
        <f>SUM(C3:C7)</f>
        <v>0</v>
      </c>
      <c r="D8" s="99"/>
      <c r="E8" s="99"/>
      <c r="F8" s="102">
        <f>SUM(F3:F7)</f>
        <v>2410</v>
      </c>
    </row>
  </sheetData>
  <sheetProtection algorithmName="SHA-512" hashValue="mYpnXbFg/M18j5WzLivV3Ah6kHskl+jFcw/g8PrxwtKq8FWtzZPLi/U1mR4cvt51bswsrCvQraPMiOnrCSEeLg==" saltValue="62mphLOm1Qiut+YGXqCd8g==" spinCount="100000" sheet="1" formatCells="0" formatColumns="0" formatRows="0" insertColumns="0" insertRows="0" selectLockedCells="1"/>
  <mergeCells count="4">
    <mergeCell ref="A1:A2"/>
    <mergeCell ref="D1:F1"/>
    <mergeCell ref="B1:B2"/>
    <mergeCell ref="C1:C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"/>
  <sheetViews>
    <sheetView zoomScale="130" zoomScaleNormal="13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H4" sqref="H4:J7"/>
    </sheetView>
  </sheetViews>
  <sheetFormatPr defaultColWidth="8.7109375" defaultRowHeight="15.75" x14ac:dyDescent="0.25"/>
  <cols>
    <col min="1" max="1" width="27.5703125" style="189" bestFit="1" customWidth="1"/>
    <col min="2" max="2" width="9.5703125" style="79" bestFit="1" customWidth="1"/>
    <col min="3" max="3" width="20.42578125" style="79" bestFit="1" customWidth="1"/>
    <col min="4" max="4" width="7.140625" style="79" bestFit="1" customWidth="1"/>
    <col min="5" max="5" width="19.42578125" style="79" bestFit="1" customWidth="1"/>
    <col min="6" max="6" width="8.7109375" style="79"/>
    <col min="7" max="7" width="13.85546875" style="79" bestFit="1" customWidth="1"/>
    <col min="8" max="16384" width="8.7109375" style="79"/>
  </cols>
  <sheetData>
    <row r="2" spans="1:10" ht="16.5" thickBot="1" x14ac:dyDescent="0.3"/>
    <row r="3" spans="1:10" s="189" customFormat="1" ht="23.25" x14ac:dyDescent="0.25">
      <c r="A3" s="188" t="s">
        <v>195</v>
      </c>
      <c r="B3" s="188" t="s">
        <v>374</v>
      </c>
      <c r="C3" s="271" t="str">
        <f>Home!A4</f>
        <v>हालको अवस्था</v>
      </c>
      <c r="D3" s="188" t="s">
        <v>374</v>
      </c>
      <c r="E3" s="271" t="s">
        <v>575</v>
      </c>
    </row>
    <row r="4" spans="1:10" ht="21.75" x14ac:dyDescent="0.25">
      <c r="A4" s="190" t="s">
        <v>375</v>
      </c>
      <c r="B4" s="80"/>
      <c r="C4" s="272">
        <f>'BS WS'!B10</f>
        <v>0</v>
      </c>
      <c r="D4" s="81"/>
      <c r="E4" s="273">
        <f>'BS WS'!G10</f>
        <v>0</v>
      </c>
    </row>
    <row r="5" spans="1:10" ht="21.75" x14ac:dyDescent="0.25">
      <c r="A5" s="190" t="s">
        <v>381</v>
      </c>
      <c r="B5" s="80"/>
      <c r="C5" s="80"/>
      <c r="D5" s="81"/>
      <c r="E5" s="80"/>
    </row>
    <row r="6" spans="1:10" ht="43.5" x14ac:dyDescent="0.25">
      <c r="A6" s="191" t="s">
        <v>376</v>
      </c>
      <c r="B6" s="81"/>
      <c r="C6" s="81"/>
      <c r="D6" s="81"/>
      <c r="E6" s="81"/>
    </row>
    <row r="7" spans="1:10" ht="43.5" x14ac:dyDescent="0.25">
      <c r="A7" s="191" t="s">
        <v>377</v>
      </c>
      <c r="B7" s="80"/>
      <c r="C7" s="80"/>
      <c r="D7" s="81"/>
      <c r="E7" s="80"/>
      <c r="G7" s="346"/>
    </row>
    <row r="8" spans="1:10" ht="21.75" x14ac:dyDescent="0.25">
      <c r="A8" s="190" t="s">
        <v>379</v>
      </c>
      <c r="B8" s="78" t="e">
        <f>C8/$C$4</f>
        <v>#DIV/0!</v>
      </c>
      <c r="C8" s="80"/>
      <c r="D8" s="81"/>
      <c r="E8" s="273">
        <f>D8*$E$4</f>
        <v>0</v>
      </c>
    </row>
    <row r="9" spans="1:10" ht="21.75" x14ac:dyDescent="0.25">
      <c r="A9" s="190" t="s">
        <v>378</v>
      </c>
      <c r="B9" s="78" t="e">
        <f t="shared" ref="B9:B11" si="0">C9/$C$4</f>
        <v>#DIV/0!</v>
      </c>
      <c r="C9" s="80"/>
      <c r="D9" s="81"/>
      <c r="E9" s="273">
        <f>D9*$E$4</f>
        <v>0</v>
      </c>
      <c r="G9" s="345"/>
    </row>
    <row r="10" spans="1:10" ht="21.75" x14ac:dyDescent="0.25">
      <c r="A10" s="190" t="s">
        <v>380</v>
      </c>
      <c r="B10" s="78" t="e">
        <f t="shared" si="0"/>
        <v>#DIV/0!</v>
      </c>
      <c r="C10" s="80"/>
      <c r="D10" s="81"/>
      <c r="E10" s="273">
        <f>D10*$E$4</f>
        <v>0</v>
      </c>
      <c r="J10" s="376"/>
    </row>
    <row r="11" spans="1:10" ht="21.75" x14ac:dyDescent="0.25">
      <c r="A11" s="190" t="s">
        <v>576</v>
      </c>
      <c r="B11" s="78" t="e">
        <f t="shared" si="0"/>
        <v>#DIV/0!</v>
      </c>
      <c r="C11" s="80"/>
      <c r="D11" s="78">
        <f>100%-SUM(D8:D10)</f>
        <v>1</v>
      </c>
      <c r="E11" s="273">
        <f>D11*$E$4</f>
        <v>0</v>
      </c>
    </row>
    <row r="12" spans="1:10" ht="22.5" thickBot="1" x14ac:dyDescent="0.3">
      <c r="A12" s="192"/>
      <c r="B12" s="82"/>
      <c r="C12" s="82"/>
      <c r="D12" s="83"/>
      <c r="E12" s="82"/>
    </row>
    <row r="13" spans="1:10" ht="21.75" x14ac:dyDescent="0.25">
      <c r="A13" s="193"/>
      <c r="B13" s="84"/>
    </row>
    <row r="14" spans="1:10" ht="21.75" x14ac:dyDescent="0.25">
      <c r="A14" s="193"/>
      <c r="B14" s="84"/>
    </row>
    <row r="15" spans="1:10" ht="21.75" x14ac:dyDescent="0.25">
      <c r="A15" s="193"/>
      <c r="B15" s="84"/>
    </row>
    <row r="16" spans="1:10" ht="21.75" x14ac:dyDescent="0.25">
      <c r="A16" s="193"/>
      <c r="B16" s="84"/>
    </row>
    <row r="17" spans="1:2" ht="21.75" x14ac:dyDescent="0.25">
      <c r="A17" s="193"/>
      <c r="B17" s="84"/>
    </row>
    <row r="18" spans="1:2" x14ac:dyDescent="0.25">
      <c r="B18" s="85"/>
    </row>
  </sheetData>
  <sheetProtection algorithmName="SHA-512" hashValue="TTstM7oiuXJn6CdMjAynzdLn/u0HRtum2Lev1AXtMecAqvQUm/Uto6MZ8piAwqNSJcPK2RujylogksHs2evcxg==" saltValue="Vp8HGIiks32UIytZ1afWSA==" spinCount="100000" sheet="1" formatCells="0" formatColumns="0" formatRows="0" insertColumns="0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5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3" sqref="D3"/>
    </sheetView>
  </sheetViews>
  <sheetFormatPr defaultColWidth="8.7109375" defaultRowHeight="15" x14ac:dyDescent="0.25"/>
  <cols>
    <col min="1" max="1" width="4" style="2" bestFit="1" customWidth="1"/>
    <col min="2" max="2" width="17" style="2" customWidth="1"/>
    <col min="3" max="3" width="14.7109375" style="2" bestFit="1" customWidth="1"/>
    <col min="4" max="4" width="12.7109375" style="2" bestFit="1" customWidth="1"/>
    <col min="5" max="5" width="15.140625" style="2" bestFit="1" customWidth="1"/>
    <col min="6" max="16384" width="8.7109375" style="2"/>
  </cols>
  <sheetData>
    <row r="1" spans="1:5" s="198" customFormat="1" ht="23.25" x14ac:dyDescent="0.5">
      <c r="A1" s="197"/>
      <c r="B1" s="404" t="s">
        <v>382</v>
      </c>
      <c r="C1" s="400" t="str">
        <f>Home!C4</f>
        <v>आ.व. २०८२/०८३</v>
      </c>
      <c r="D1" s="400"/>
      <c r="E1" s="400"/>
    </row>
    <row r="2" spans="1:5" s="194" customFormat="1" ht="18" customHeight="1" x14ac:dyDescent="0.45">
      <c r="A2" s="195"/>
      <c r="B2" s="405"/>
      <c r="C2" s="196" t="s">
        <v>383</v>
      </c>
      <c r="D2" s="196" t="s">
        <v>384</v>
      </c>
      <c r="E2" s="196" t="s">
        <v>385</v>
      </c>
    </row>
    <row r="3" spans="1:5" ht="18" customHeight="1" x14ac:dyDescent="0.25">
      <c r="A3" s="51"/>
      <c r="B3" s="50" t="s">
        <v>179</v>
      </c>
      <c r="C3" s="43"/>
      <c r="D3" s="43"/>
      <c r="E3" s="43"/>
    </row>
    <row r="4" spans="1:5" ht="19.5" x14ac:dyDescent="0.35">
      <c r="A4" s="401" t="s">
        <v>149</v>
      </c>
      <c r="B4" s="44" t="s">
        <v>149</v>
      </c>
      <c r="C4" s="33"/>
      <c r="D4" s="33"/>
      <c r="E4" s="33"/>
    </row>
    <row r="5" spans="1:5" ht="19.5" x14ac:dyDescent="0.35">
      <c r="A5" s="402"/>
      <c r="B5" s="45" t="s">
        <v>0</v>
      </c>
      <c r="C5" s="274">
        <f>C4</f>
        <v>0</v>
      </c>
      <c r="D5" s="323">
        <f>D4</f>
        <v>0</v>
      </c>
      <c r="E5" s="274">
        <f t="shared" ref="E5" si="0">SUM(E4)</f>
        <v>0</v>
      </c>
    </row>
    <row r="6" spans="1:5" ht="19.5" x14ac:dyDescent="0.35">
      <c r="A6" s="401" t="s">
        <v>150</v>
      </c>
      <c r="B6" s="44" t="s">
        <v>151</v>
      </c>
      <c r="C6" s="33">
        <v>0</v>
      </c>
      <c r="D6" s="33"/>
      <c r="E6" s="33"/>
    </row>
    <row r="7" spans="1:5" ht="19.5" x14ac:dyDescent="0.35">
      <c r="A7" s="403"/>
      <c r="B7" s="44" t="s">
        <v>152</v>
      </c>
      <c r="C7" s="33"/>
      <c r="D7" s="33"/>
      <c r="E7" s="33"/>
    </row>
    <row r="8" spans="1:5" ht="19.5" x14ac:dyDescent="0.35">
      <c r="A8" s="403"/>
      <c r="B8" s="44" t="s">
        <v>153</v>
      </c>
      <c r="C8" s="33"/>
      <c r="D8" s="33"/>
      <c r="E8" s="33"/>
    </row>
    <row r="9" spans="1:5" ht="39" x14ac:dyDescent="0.35">
      <c r="A9" s="403"/>
      <c r="B9" s="44" t="s">
        <v>154</v>
      </c>
      <c r="C9" s="33"/>
      <c r="D9" s="33"/>
      <c r="E9" s="33"/>
    </row>
    <row r="10" spans="1:5" ht="19.5" x14ac:dyDescent="0.35">
      <c r="A10" s="403"/>
      <c r="B10" s="44" t="s">
        <v>155</v>
      </c>
      <c r="C10" s="33"/>
      <c r="D10" s="33"/>
      <c r="E10" s="33"/>
    </row>
    <row r="11" spans="1:5" ht="19.5" x14ac:dyDescent="0.35">
      <c r="A11" s="403"/>
      <c r="B11" s="44" t="s">
        <v>156</v>
      </c>
      <c r="D11" s="33"/>
      <c r="E11" s="33"/>
    </row>
    <row r="12" spans="1:5" ht="19.5" x14ac:dyDescent="0.35">
      <c r="A12" s="403"/>
      <c r="B12" s="44" t="s">
        <v>157</v>
      </c>
      <c r="C12" s="33"/>
      <c r="D12" s="33"/>
      <c r="E12" s="33"/>
    </row>
    <row r="13" spans="1:5" ht="39" x14ac:dyDescent="0.35">
      <c r="A13" s="403"/>
      <c r="B13" s="44" t="s">
        <v>158</v>
      </c>
      <c r="C13" s="33"/>
      <c r="D13" s="33"/>
      <c r="E13" s="33"/>
    </row>
    <row r="14" spans="1:5" ht="19.5" x14ac:dyDescent="0.35">
      <c r="A14" s="403"/>
      <c r="B14" s="44" t="s">
        <v>159</v>
      </c>
      <c r="C14" s="33"/>
      <c r="D14" s="33"/>
      <c r="E14" s="33"/>
    </row>
    <row r="15" spans="1:5" ht="19.5" x14ac:dyDescent="0.35">
      <c r="A15" s="403"/>
      <c r="B15" s="44" t="s">
        <v>561</v>
      </c>
      <c r="C15" s="33"/>
      <c r="D15" s="33"/>
      <c r="E15" s="33"/>
    </row>
    <row r="16" spans="1:5" ht="19.5" x14ac:dyDescent="0.35">
      <c r="A16" s="403"/>
      <c r="B16" s="44" t="s">
        <v>160</v>
      </c>
      <c r="C16" s="33"/>
      <c r="D16" s="33"/>
      <c r="E16" s="33"/>
    </row>
    <row r="17" spans="1:5" ht="19.5" x14ac:dyDescent="0.35">
      <c r="A17" s="403"/>
      <c r="B17" s="44" t="s">
        <v>161</v>
      </c>
      <c r="C17" s="33"/>
      <c r="D17" s="33"/>
      <c r="E17" s="33"/>
    </row>
    <row r="18" spans="1:5" ht="19.5" x14ac:dyDescent="0.35">
      <c r="A18" s="403"/>
      <c r="B18" s="44" t="s">
        <v>162</v>
      </c>
      <c r="C18" s="33"/>
      <c r="D18" s="33"/>
      <c r="E18" s="33"/>
    </row>
    <row r="19" spans="1:5" ht="19.5" x14ac:dyDescent="0.35">
      <c r="A19" s="403"/>
      <c r="B19" s="44" t="s">
        <v>163</v>
      </c>
      <c r="C19" s="33"/>
      <c r="D19" s="33"/>
      <c r="E19" s="33"/>
    </row>
    <row r="20" spans="1:5" ht="19.5" x14ac:dyDescent="0.35">
      <c r="A20" s="403"/>
      <c r="B20" s="44" t="s">
        <v>164</v>
      </c>
      <c r="C20" s="33"/>
      <c r="D20" s="33"/>
      <c r="E20" s="33"/>
    </row>
    <row r="21" spans="1:5" ht="19.5" x14ac:dyDescent="0.35">
      <c r="A21" s="403"/>
      <c r="B21" s="44" t="s">
        <v>347</v>
      </c>
      <c r="C21" s="33"/>
      <c r="D21" s="33"/>
      <c r="E21" s="33"/>
    </row>
    <row r="22" spans="1:5" ht="21" x14ac:dyDescent="0.35">
      <c r="A22" s="403"/>
      <c r="B22" s="47" t="s">
        <v>165</v>
      </c>
      <c r="C22" s="33"/>
      <c r="D22" s="33"/>
      <c r="E22" s="33"/>
    </row>
    <row r="23" spans="1:5" ht="21" x14ac:dyDescent="0.35">
      <c r="A23" s="402"/>
      <c r="B23" s="48" t="s">
        <v>0</v>
      </c>
      <c r="C23" s="275">
        <f t="shared" ref="C23:E23" si="1">SUM(C6:C22)</f>
        <v>0</v>
      </c>
      <c r="D23" s="275">
        <f t="shared" si="1"/>
        <v>0</v>
      </c>
      <c r="E23" s="275">
        <f t="shared" si="1"/>
        <v>0</v>
      </c>
    </row>
    <row r="24" spans="1:5" ht="19.5" x14ac:dyDescent="0.35">
      <c r="A24" s="401" t="s">
        <v>166</v>
      </c>
      <c r="B24" s="44" t="s">
        <v>167</v>
      </c>
      <c r="C24" s="33"/>
      <c r="D24" s="33"/>
      <c r="E24" s="33"/>
    </row>
    <row r="25" spans="1:5" ht="19.5" x14ac:dyDescent="0.35">
      <c r="A25" s="403"/>
      <c r="B25" s="44" t="s">
        <v>168</v>
      </c>
      <c r="C25" s="33"/>
      <c r="D25" s="33"/>
      <c r="E25" s="33"/>
    </row>
    <row r="26" spans="1:5" ht="19.5" x14ac:dyDescent="0.35">
      <c r="A26" s="403"/>
      <c r="B26" s="44" t="s">
        <v>169</v>
      </c>
      <c r="C26" s="33"/>
      <c r="D26" s="33"/>
      <c r="E26" s="33"/>
    </row>
    <row r="27" spans="1:5" ht="19.5" x14ac:dyDescent="0.35">
      <c r="A27" s="403"/>
      <c r="B27" s="44"/>
      <c r="C27" s="33"/>
      <c r="D27" s="33"/>
      <c r="E27" s="33"/>
    </row>
    <row r="28" spans="1:5" ht="19.5" x14ac:dyDescent="0.35">
      <c r="A28" s="402"/>
      <c r="B28" s="45" t="s">
        <v>0</v>
      </c>
      <c r="C28" s="274">
        <f t="shared" ref="C28:E28" si="2">SUM(C24:C27)</f>
        <v>0</v>
      </c>
      <c r="D28" s="274">
        <f t="shared" si="2"/>
        <v>0</v>
      </c>
      <c r="E28" s="274">
        <f t="shared" si="2"/>
        <v>0</v>
      </c>
    </row>
    <row r="29" spans="1:5" ht="19.5" x14ac:dyDescent="0.35">
      <c r="A29" s="401" t="s">
        <v>170</v>
      </c>
      <c r="B29" s="44" t="s">
        <v>171</v>
      </c>
      <c r="D29" s="33"/>
      <c r="E29" s="33"/>
    </row>
    <row r="30" spans="1:5" ht="39" x14ac:dyDescent="0.35">
      <c r="A30" s="403"/>
      <c r="B30" s="44" t="s">
        <v>172</v>
      </c>
      <c r="C30" s="33"/>
      <c r="D30" s="33"/>
      <c r="E30" s="33"/>
    </row>
    <row r="31" spans="1:5" ht="19.5" x14ac:dyDescent="0.35">
      <c r="A31" s="403"/>
      <c r="B31" s="44" t="s">
        <v>173</v>
      </c>
      <c r="C31" s="33"/>
      <c r="D31" s="33"/>
      <c r="E31" s="33"/>
    </row>
    <row r="32" spans="1:5" ht="19.5" x14ac:dyDescent="0.35">
      <c r="A32" s="403"/>
      <c r="B32" s="44"/>
      <c r="C32" s="33"/>
      <c r="D32" s="33"/>
      <c r="E32" s="33"/>
    </row>
    <row r="33" spans="1:5" ht="19.5" x14ac:dyDescent="0.35">
      <c r="A33" s="402"/>
      <c r="B33" s="45" t="s">
        <v>0</v>
      </c>
      <c r="C33" s="274">
        <f>SUM(C30:C32)</f>
        <v>0</v>
      </c>
      <c r="D33" s="274">
        <f t="shared" ref="D33:E33" si="3">SUM(D29:D32)</f>
        <v>0</v>
      </c>
      <c r="E33" s="274">
        <f t="shared" si="3"/>
        <v>0</v>
      </c>
    </row>
    <row r="34" spans="1:5" ht="18" x14ac:dyDescent="0.35">
      <c r="A34" s="31"/>
      <c r="C34" s="49"/>
      <c r="D34" s="49"/>
      <c r="E34" s="49"/>
    </row>
    <row r="35" spans="1:5" ht="18" x14ac:dyDescent="0.35">
      <c r="A35" s="31"/>
      <c r="C35" s="49"/>
      <c r="D35" s="49"/>
      <c r="E35" s="49"/>
    </row>
  </sheetData>
  <sheetProtection formatCells="0" formatColumns="0" formatRows="0" insertColumns="0" insertRows="0"/>
  <mergeCells count="6">
    <mergeCell ref="C1:E1"/>
    <mergeCell ref="A4:A5"/>
    <mergeCell ref="A6:A23"/>
    <mergeCell ref="A24:A28"/>
    <mergeCell ref="A29:A33"/>
    <mergeCell ref="B1:B2"/>
  </mergeCell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opLeftCell="A13" zoomScale="138" workbookViewId="0">
      <selection activeCell="B23" sqref="B23"/>
    </sheetView>
  </sheetViews>
  <sheetFormatPr defaultColWidth="8.7109375" defaultRowHeight="15.75" x14ac:dyDescent="0.3"/>
  <cols>
    <col min="1" max="1" width="14.7109375" style="194" bestFit="1" customWidth="1"/>
    <col min="2" max="2" width="45.42578125" style="194" bestFit="1" customWidth="1"/>
    <col min="3" max="3" width="20.42578125" style="2" bestFit="1" customWidth="1"/>
    <col min="4" max="16384" width="8.7109375" style="2"/>
  </cols>
  <sheetData>
    <row r="1" spans="1:3" s="194" customFormat="1" ht="27" thickBot="1" x14ac:dyDescent="0.6">
      <c r="A1" s="406" t="s">
        <v>396</v>
      </c>
      <c r="B1" s="406"/>
      <c r="C1" s="406"/>
    </row>
    <row r="2" spans="1:3" s="278" customFormat="1" ht="24" thickBot="1" x14ac:dyDescent="0.55000000000000004">
      <c r="A2" s="177" t="s">
        <v>397</v>
      </c>
      <c r="B2" s="177" t="s">
        <v>396</v>
      </c>
      <c r="C2" s="254" t="str">
        <f>Home!C4</f>
        <v>आ.व. २०८२/०८३</v>
      </c>
    </row>
    <row r="3" spans="1:3" ht="22.5" thickBot="1" x14ac:dyDescent="0.45">
      <c r="A3" s="279" t="s">
        <v>415</v>
      </c>
      <c r="B3" s="280" t="s">
        <v>290</v>
      </c>
      <c r="C3" s="284">
        <f>'150.3.1.1'!G36</f>
        <v>0</v>
      </c>
    </row>
    <row r="4" spans="1:3" ht="22.5" thickBot="1" x14ac:dyDescent="0.45">
      <c r="A4" s="279" t="s">
        <v>416</v>
      </c>
      <c r="B4" s="280" t="s">
        <v>398</v>
      </c>
      <c r="C4" s="284">
        <f>'150.3.1.2'!F6</f>
        <v>0</v>
      </c>
    </row>
    <row r="5" spans="1:3" ht="22.5" thickBot="1" x14ac:dyDescent="0.45">
      <c r="A5" s="279" t="s">
        <v>417</v>
      </c>
      <c r="B5" s="280" t="s">
        <v>292</v>
      </c>
      <c r="C5" s="284">
        <f>'150.3.1.3'!F6</f>
        <v>0</v>
      </c>
    </row>
    <row r="6" spans="1:3" ht="22.5" thickBot="1" x14ac:dyDescent="0.45">
      <c r="A6" s="279" t="s">
        <v>418</v>
      </c>
      <c r="B6" s="280" t="s">
        <v>293</v>
      </c>
      <c r="C6" s="284">
        <f>'150.3.1.4'!F6</f>
        <v>0</v>
      </c>
    </row>
    <row r="7" spans="1:3" ht="22.5" thickBot="1" x14ac:dyDescent="0.45">
      <c r="A7" s="279" t="s">
        <v>419</v>
      </c>
      <c r="B7" s="280" t="s">
        <v>399</v>
      </c>
      <c r="C7" s="284">
        <f>'150.3.1.5'!F10</f>
        <v>0</v>
      </c>
    </row>
    <row r="8" spans="1:3" ht="22.5" thickBot="1" x14ac:dyDescent="0.45">
      <c r="A8" s="279" t="s">
        <v>420</v>
      </c>
      <c r="B8" s="280" t="s">
        <v>295</v>
      </c>
      <c r="C8" s="284">
        <f>'150.3.1.6'!F8</f>
        <v>0</v>
      </c>
    </row>
    <row r="9" spans="1:3" ht="22.5" thickBot="1" x14ac:dyDescent="0.45">
      <c r="A9" s="279" t="s">
        <v>421</v>
      </c>
      <c r="B9" s="280" t="s">
        <v>400</v>
      </c>
      <c r="C9" s="284">
        <f>'150.3.1.7'!F6</f>
        <v>0</v>
      </c>
    </row>
    <row r="10" spans="1:3" ht="22.5" thickBot="1" x14ac:dyDescent="0.45">
      <c r="A10" s="279" t="s">
        <v>422</v>
      </c>
      <c r="B10" s="280" t="s">
        <v>401</v>
      </c>
      <c r="C10" s="284">
        <f>'150.3.1.8'!D6</f>
        <v>0</v>
      </c>
    </row>
    <row r="11" spans="1:3" ht="22.5" thickBot="1" x14ac:dyDescent="0.45">
      <c r="A11" s="279" t="s">
        <v>423</v>
      </c>
      <c r="B11" s="280" t="s">
        <v>298</v>
      </c>
      <c r="C11" s="284">
        <f>'150.3.1.9'!D6</f>
        <v>0</v>
      </c>
    </row>
    <row r="12" spans="1:3" ht="22.5" thickBot="1" x14ac:dyDescent="0.45">
      <c r="A12" s="279" t="s">
        <v>424</v>
      </c>
      <c r="B12" s="280" t="s">
        <v>402</v>
      </c>
      <c r="C12" s="284">
        <f>'150.3.1.10'!D7</f>
        <v>0</v>
      </c>
    </row>
    <row r="13" spans="1:3" ht="22.5" thickBot="1" x14ac:dyDescent="0.45">
      <c r="A13" s="279" t="s">
        <v>425</v>
      </c>
      <c r="B13" s="281" t="s">
        <v>300</v>
      </c>
      <c r="C13" s="284">
        <f>'150.3.1.11'!D7</f>
        <v>0</v>
      </c>
    </row>
    <row r="14" spans="1:3" ht="22.5" thickBot="1" x14ac:dyDescent="0.45">
      <c r="A14" s="279" t="s">
        <v>426</v>
      </c>
      <c r="B14" s="280" t="s">
        <v>403</v>
      </c>
      <c r="C14" s="284">
        <f>'150.3.1.12'!D8</f>
        <v>0</v>
      </c>
    </row>
    <row r="15" spans="1:3" ht="22.5" thickBot="1" x14ac:dyDescent="0.45">
      <c r="A15" s="279" t="s">
        <v>427</v>
      </c>
      <c r="B15" s="280" t="s">
        <v>302</v>
      </c>
      <c r="C15" s="284">
        <f>'150.3.1.13'!F9</f>
        <v>0</v>
      </c>
    </row>
    <row r="16" spans="1:3" ht="22.5" thickBot="1" x14ac:dyDescent="0.45">
      <c r="A16" s="279" t="s">
        <v>428</v>
      </c>
      <c r="B16" s="280" t="s">
        <v>404</v>
      </c>
      <c r="C16" s="284">
        <f>'150.3.1.14'!D12</f>
        <v>0</v>
      </c>
    </row>
    <row r="17" spans="1:3" ht="22.5" thickBot="1" x14ac:dyDescent="0.45">
      <c r="A17" s="279" t="s">
        <v>429</v>
      </c>
      <c r="B17" s="280" t="s">
        <v>304</v>
      </c>
      <c r="C17" s="284">
        <f>'150.3.1.15'!E30</f>
        <v>0</v>
      </c>
    </row>
    <row r="18" spans="1:3" ht="22.5" thickBot="1" x14ac:dyDescent="0.45">
      <c r="A18" s="279" t="s">
        <v>430</v>
      </c>
      <c r="B18" s="280" t="s">
        <v>405</v>
      </c>
      <c r="C18" s="284">
        <f>'150.3.1.16'!D8</f>
        <v>0</v>
      </c>
    </row>
    <row r="19" spans="1:3" ht="22.5" thickBot="1" x14ac:dyDescent="0.45">
      <c r="A19" s="279" t="s">
        <v>431</v>
      </c>
      <c r="B19" s="280" t="s">
        <v>306</v>
      </c>
      <c r="C19" s="284">
        <f>'150.3.1.17'!D8</f>
        <v>0</v>
      </c>
    </row>
    <row r="20" spans="1:3" ht="22.5" thickBot="1" x14ac:dyDescent="0.45">
      <c r="A20" s="279" t="s">
        <v>432</v>
      </c>
      <c r="B20" s="280" t="s">
        <v>406</v>
      </c>
      <c r="C20" s="284">
        <f>'150.3.1.18'!D12</f>
        <v>1502400</v>
      </c>
    </row>
    <row r="21" spans="1:3" ht="22.5" thickBot="1" x14ac:dyDescent="0.45">
      <c r="A21" s="279" t="s">
        <v>433</v>
      </c>
      <c r="B21" s="280" t="s">
        <v>407</v>
      </c>
      <c r="C21" s="284">
        <f>'150.3.1.19'!D5</f>
        <v>0</v>
      </c>
    </row>
    <row r="22" spans="1:3" ht="22.5" thickBot="1" x14ac:dyDescent="0.45">
      <c r="A22" s="279" t="s">
        <v>434</v>
      </c>
      <c r="B22" s="280" t="s">
        <v>408</v>
      </c>
      <c r="C22" s="284">
        <f>'150.3.1.20'!D10</f>
        <v>0</v>
      </c>
    </row>
    <row r="23" spans="1:3" ht="22.5" thickBot="1" x14ac:dyDescent="0.45">
      <c r="A23" s="279" t="s">
        <v>435</v>
      </c>
      <c r="B23" s="280" t="s">
        <v>409</v>
      </c>
      <c r="C23" s="284">
        <f>'150.3.1.21'!D7</f>
        <v>0</v>
      </c>
    </row>
    <row r="24" spans="1:3" ht="22.5" thickBot="1" x14ac:dyDescent="0.45">
      <c r="A24" s="279" t="s">
        <v>436</v>
      </c>
      <c r="B24" s="280" t="s">
        <v>311</v>
      </c>
      <c r="C24" s="284">
        <f>'150.3.1.22'!D6</f>
        <v>0</v>
      </c>
    </row>
    <row r="25" spans="1:3" ht="22.5" thickBot="1" x14ac:dyDescent="0.45">
      <c r="A25" s="279" t="s">
        <v>437</v>
      </c>
      <c r="B25" s="280" t="s">
        <v>312</v>
      </c>
      <c r="C25" s="284">
        <f>'150.3.1.23'!D7</f>
        <v>0</v>
      </c>
    </row>
    <row r="26" spans="1:3" ht="22.5" thickBot="1" x14ac:dyDescent="0.45">
      <c r="A26" s="279" t="s">
        <v>438</v>
      </c>
      <c r="B26" s="280" t="s">
        <v>313</v>
      </c>
      <c r="C26" s="284">
        <f>'150.3.1.24'!D5</f>
        <v>0</v>
      </c>
    </row>
    <row r="27" spans="1:3" ht="22.5" thickBot="1" x14ac:dyDescent="0.45">
      <c r="A27" s="279" t="s">
        <v>439</v>
      </c>
      <c r="B27" s="280" t="s">
        <v>410</v>
      </c>
      <c r="C27" s="284">
        <f>'150.3.1.25'!D10</f>
        <v>0</v>
      </c>
    </row>
    <row r="28" spans="1:3" ht="22.5" thickBot="1" x14ac:dyDescent="0.45">
      <c r="A28" s="279" t="s">
        <v>440</v>
      </c>
      <c r="B28" s="281" t="s">
        <v>315</v>
      </c>
      <c r="C28" s="284">
        <f>'150.3.1.26'!D7</f>
        <v>0</v>
      </c>
    </row>
    <row r="29" spans="1:3" ht="22.5" thickBot="1" x14ac:dyDescent="0.45">
      <c r="A29" s="279" t="s">
        <v>441</v>
      </c>
      <c r="B29" s="280" t="s">
        <v>411</v>
      </c>
      <c r="C29" s="284">
        <f>'150.3.1.27'!D8</f>
        <v>0</v>
      </c>
    </row>
    <row r="30" spans="1:3" ht="22.5" thickBot="1" x14ac:dyDescent="0.45">
      <c r="A30" s="279" t="s">
        <v>442</v>
      </c>
      <c r="B30" s="281" t="s">
        <v>317</v>
      </c>
      <c r="C30" s="284">
        <f>'150.3.1.28'!L8</f>
        <v>0</v>
      </c>
    </row>
    <row r="31" spans="1:3" ht="22.5" thickBot="1" x14ac:dyDescent="0.45">
      <c r="A31" s="279" t="s">
        <v>443</v>
      </c>
      <c r="B31" s="280" t="s">
        <v>318</v>
      </c>
      <c r="C31" s="284">
        <f>'150.3.1.29'!D5</f>
        <v>0</v>
      </c>
    </row>
    <row r="32" spans="1:3" ht="22.5" thickBot="1" x14ac:dyDescent="0.45">
      <c r="A32" s="279" t="s">
        <v>444</v>
      </c>
      <c r="B32" s="280" t="s">
        <v>319</v>
      </c>
      <c r="C32" s="284">
        <f>'150.3.1.30'!F5</f>
        <v>0</v>
      </c>
    </row>
    <row r="33" spans="1:3" ht="22.5" thickBot="1" x14ac:dyDescent="0.45">
      <c r="A33" s="279" t="s">
        <v>445</v>
      </c>
      <c r="B33" s="280" t="s">
        <v>320</v>
      </c>
      <c r="C33" s="284">
        <f>'150.3.1.31'!D5</f>
        <v>0</v>
      </c>
    </row>
    <row r="34" spans="1:3" ht="22.5" thickBot="1" x14ac:dyDescent="0.45">
      <c r="A34" s="279" t="s">
        <v>446</v>
      </c>
      <c r="B34" s="280" t="s">
        <v>321</v>
      </c>
      <c r="C34" s="284">
        <f>'150.3.1.32'!D7</f>
        <v>0</v>
      </c>
    </row>
    <row r="35" spans="1:3" ht="20.100000000000001" customHeight="1" thickBot="1" x14ac:dyDescent="0.4">
      <c r="A35" s="279" t="s">
        <v>447</v>
      </c>
      <c r="B35" s="282" t="s">
        <v>412</v>
      </c>
      <c r="C35" s="284">
        <f>'150.3.2.1'!F7</f>
        <v>0</v>
      </c>
    </row>
    <row r="36" spans="1:3" ht="20.100000000000001" customHeight="1" thickBot="1" x14ac:dyDescent="0.4">
      <c r="A36" s="279" t="s">
        <v>448</v>
      </c>
      <c r="B36" s="282" t="s">
        <v>413</v>
      </c>
      <c r="C36" s="284">
        <f>'150.3.2.2'!D4</f>
        <v>0</v>
      </c>
    </row>
    <row r="37" spans="1:3" ht="20.100000000000001" customHeight="1" thickBot="1" x14ac:dyDescent="0.45">
      <c r="A37" s="279" t="s">
        <v>449</v>
      </c>
      <c r="B37" s="280" t="s">
        <v>414</v>
      </c>
      <c r="C37" s="284">
        <f>'150.3.3'!D4</f>
        <v>0</v>
      </c>
    </row>
    <row r="38" spans="1:3" ht="24" thickBot="1" x14ac:dyDescent="0.55000000000000004">
      <c r="A38" s="280"/>
      <c r="B38" s="283" t="s">
        <v>394</v>
      </c>
      <c r="C38" s="285">
        <f>SUM(C3:C37)</f>
        <v>1502400</v>
      </c>
    </row>
  </sheetData>
  <sheetProtection formatCells="0" formatColumns="0" formatRows="0" insertColumns="0" insertRows="0"/>
  <mergeCells count="1">
    <mergeCell ref="A1:C1"/>
  </mergeCells>
  <phoneticPr fontId="24" type="noConversion"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zoomScaleNormal="100" workbookViewId="0">
      <selection activeCell="C19" sqref="C19"/>
    </sheetView>
  </sheetViews>
  <sheetFormatPr defaultColWidth="8.7109375" defaultRowHeight="15" x14ac:dyDescent="0.25"/>
  <cols>
    <col min="1" max="1" width="26" style="2" bestFit="1" customWidth="1"/>
    <col min="2" max="3" width="21.5703125" style="2" bestFit="1" customWidth="1"/>
    <col min="4" max="4" width="21.28515625" style="2" bestFit="1" customWidth="1"/>
    <col min="5" max="5" width="8.7109375" style="2"/>
    <col min="6" max="6" width="14.28515625" style="2" bestFit="1" customWidth="1"/>
    <col min="7" max="16384" width="8.7109375" style="2"/>
  </cols>
  <sheetData>
    <row r="1" spans="1:6" ht="30" customHeight="1" x14ac:dyDescent="0.25">
      <c r="A1" s="407" t="str">
        <f>Home!A1</f>
        <v xml:space="preserve"> बचत तथा ऋण सहकारी संस्था लि.</v>
      </c>
      <c r="B1" s="407"/>
      <c r="C1" s="407"/>
      <c r="D1" s="407"/>
    </row>
    <row r="2" spans="1:6" ht="24.75" x14ac:dyDescent="0.25">
      <c r="A2" s="408" t="str">
        <f>Home!A2</f>
        <v>ठेगाना</v>
      </c>
      <c r="B2" s="408"/>
      <c r="C2" s="408"/>
      <c r="D2" s="408"/>
    </row>
    <row r="3" spans="1:6" ht="25.5" x14ac:dyDescent="0.25">
      <c r="A3" s="409" t="s">
        <v>346</v>
      </c>
      <c r="B3" s="409"/>
      <c r="C3" s="409"/>
      <c r="D3" s="409"/>
    </row>
    <row r="4" spans="1:6" ht="25.5" x14ac:dyDescent="0.25">
      <c r="A4" s="410" t="str">
        <f>Home!A3</f>
        <v xml:space="preserve">आ.व. २०८२/८३ </v>
      </c>
      <c r="B4" s="410"/>
      <c r="C4" s="410"/>
      <c r="D4" s="410"/>
    </row>
    <row r="5" spans="1:6" s="194" customFormat="1" ht="23.25" x14ac:dyDescent="0.5">
      <c r="A5" s="357" t="s">
        <v>195</v>
      </c>
      <c r="B5" s="358" t="str">
        <f>Home!A4</f>
        <v>हालको अवस्था</v>
      </c>
      <c r="C5" s="359" t="str">
        <f>Home!B4</f>
        <v>असार मसान्तको</v>
      </c>
      <c r="D5" s="359" t="str">
        <f>Home!C4</f>
        <v>आ.व. २०८२/०८३</v>
      </c>
    </row>
    <row r="6" spans="1:6" ht="26.25" x14ac:dyDescent="0.55000000000000004">
      <c r="A6" s="360" t="s">
        <v>5</v>
      </c>
      <c r="B6" s="360"/>
      <c r="C6" s="373"/>
      <c r="D6" s="360"/>
    </row>
    <row r="7" spans="1:6" ht="21.75" x14ac:dyDescent="0.35">
      <c r="A7" s="361" t="s">
        <v>6</v>
      </c>
      <c r="B7" s="362">
        <f>'BS WS'!B7</f>
        <v>0</v>
      </c>
      <c r="C7" s="369">
        <f>'BS WS'!E7</f>
        <v>0</v>
      </c>
      <c r="D7" s="334">
        <f>ROUND('BS WS'!G7,-3)</f>
        <v>0</v>
      </c>
    </row>
    <row r="8" spans="1:6" ht="21.75" x14ac:dyDescent="0.25">
      <c r="A8" s="361" t="s">
        <v>7</v>
      </c>
      <c r="B8" s="362">
        <f>'BS WS'!B8+'BS WS'!B9</f>
        <v>0</v>
      </c>
      <c r="C8" s="370">
        <f>'BS WS'!E8+'BS WS'!E9</f>
        <v>0</v>
      </c>
      <c r="D8" s="362">
        <f>'BS WS'!G8+'BS WS'!G9</f>
        <v>-1200000</v>
      </c>
      <c r="F8" s="141"/>
    </row>
    <row r="9" spans="1:6" ht="21.75" x14ac:dyDescent="0.35">
      <c r="A9" s="361" t="s">
        <v>8</v>
      </c>
      <c r="B9" s="362">
        <f>'BS WS'!B10</f>
        <v>0</v>
      </c>
      <c r="C9" s="369">
        <f>'BS WS'!E10</f>
        <v>0</v>
      </c>
      <c r="D9" s="334">
        <f>ROUND('BS WS'!G10,-3)</f>
        <v>0</v>
      </c>
    </row>
    <row r="10" spans="1:6" ht="21.75" x14ac:dyDescent="0.35">
      <c r="A10" s="361" t="s">
        <v>9</v>
      </c>
      <c r="B10" s="362">
        <f>'BS WS'!B11</f>
        <v>0</v>
      </c>
      <c r="C10" s="369">
        <f>ROUND('BS WS'!E11,-3)</f>
        <v>0</v>
      </c>
      <c r="D10" s="334">
        <f>ROUND('BS WS'!G11,-3)</f>
        <v>0</v>
      </c>
    </row>
    <row r="11" spans="1:6" ht="21.75" x14ac:dyDescent="0.35">
      <c r="A11" s="361" t="s">
        <v>10</v>
      </c>
      <c r="B11" s="362">
        <f>'BS WS'!B12</f>
        <v>0</v>
      </c>
      <c r="C11" s="369">
        <f>ROUND('BS WS'!E12,-3)</f>
        <v>0</v>
      </c>
      <c r="D11" s="334">
        <f>ROUND('BS WS'!G12,-3)</f>
        <v>0</v>
      </c>
    </row>
    <row r="12" spans="1:6" ht="21.75" x14ac:dyDescent="0.35">
      <c r="A12" s="361" t="s">
        <v>538</v>
      </c>
      <c r="B12" s="362">
        <f>'BS WS'!B13</f>
        <v>0</v>
      </c>
      <c r="C12" s="369">
        <f>'BS WS'!E13</f>
        <v>0</v>
      </c>
      <c r="D12" s="334">
        <f>'BS WS'!G13</f>
        <v>0</v>
      </c>
    </row>
    <row r="13" spans="1:6" ht="21.75" x14ac:dyDescent="0.35">
      <c r="A13" s="361" t="s">
        <v>386</v>
      </c>
      <c r="B13" s="362">
        <f>'BS WS'!B15</f>
        <v>0</v>
      </c>
      <c r="C13" s="369">
        <f>'BS WS'!E15</f>
        <v>0</v>
      </c>
      <c r="D13" s="334">
        <f>ROUND('BS WS'!G15,-3)</f>
        <v>-300000</v>
      </c>
    </row>
    <row r="14" spans="1:6" ht="21.75" x14ac:dyDescent="0.35">
      <c r="A14" s="361" t="s">
        <v>539</v>
      </c>
      <c r="B14" s="362">
        <f>'BS WS'!B16+'BS WS'!B14+'BS WS'!B18+'BS WS'!B17</f>
        <v>0</v>
      </c>
      <c r="C14" s="369">
        <f>'BS WS'!E16+'BS WS'!E14+'BS WS'!B18+'BS WS'!B17</f>
        <v>0</v>
      </c>
      <c r="D14" s="334">
        <f>ROUND('BS WS'!G16+'BS WS'!G14,-3)</f>
        <v>1500000</v>
      </c>
    </row>
    <row r="15" spans="1:6" ht="23.25" x14ac:dyDescent="0.35">
      <c r="A15" s="363" t="s">
        <v>38</v>
      </c>
      <c r="B15" s="364">
        <f>SUM(B7:B14)</f>
        <v>0</v>
      </c>
      <c r="C15" s="335">
        <f t="shared" ref="C15:D15" si="0">SUM(C7:C14)</f>
        <v>0</v>
      </c>
      <c r="D15" s="335">
        <f t="shared" si="0"/>
        <v>0</v>
      </c>
      <c r="F15" s="141"/>
    </row>
    <row r="16" spans="1:6" ht="26.25" x14ac:dyDescent="0.55000000000000004">
      <c r="A16" s="360" t="s">
        <v>12</v>
      </c>
      <c r="B16" s="360"/>
      <c r="C16" s="360"/>
      <c r="D16" s="360"/>
      <c r="F16" s="141"/>
    </row>
    <row r="17" spans="1:6" ht="21.75" x14ac:dyDescent="0.35">
      <c r="A17" s="361" t="s">
        <v>387</v>
      </c>
      <c r="B17" s="362">
        <f>'BS WS'!B22</f>
        <v>0</v>
      </c>
      <c r="C17" s="336">
        <f>'BS WS'!E22</f>
        <v>0</v>
      </c>
      <c r="D17" s="336">
        <f>ROUND('BS WS'!G22,-3)</f>
        <v>0</v>
      </c>
      <c r="F17" s="141"/>
    </row>
    <row r="18" spans="1:6" ht="21.75" x14ac:dyDescent="0.35">
      <c r="A18" s="361" t="s">
        <v>13</v>
      </c>
      <c r="B18" s="362">
        <f>'BS WS'!B23</f>
        <v>0</v>
      </c>
      <c r="C18" s="336">
        <f>'BS WS'!E23</f>
        <v>0</v>
      </c>
      <c r="D18" s="336">
        <f>ROUND('BS WS'!G23,-3)</f>
        <v>0</v>
      </c>
    </row>
    <row r="19" spans="1:6" ht="21.75" x14ac:dyDescent="0.35">
      <c r="A19" s="361" t="s">
        <v>14</v>
      </c>
      <c r="B19" s="362">
        <f>'BS WS'!B24</f>
        <v>0</v>
      </c>
      <c r="C19" s="336">
        <f>'BS WS'!E24</f>
        <v>0</v>
      </c>
      <c r="D19" s="336">
        <f>ROUND('BS WS'!G24,-3)</f>
        <v>0</v>
      </c>
    </row>
    <row r="20" spans="1:6" ht="21.75" x14ac:dyDescent="0.35">
      <c r="A20" s="361" t="s">
        <v>15</v>
      </c>
      <c r="B20" s="362">
        <f>'BS WS'!B25</f>
        <v>0</v>
      </c>
      <c r="C20" s="336">
        <f>'BS WS'!E25</f>
        <v>0</v>
      </c>
      <c r="D20" s="336">
        <f>ROUND('BS WS'!G25,-3)</f>
        <v>0</v>
      </c>
    </row>
    <row r="21" spans="1:6" ht="21.75" x14ac:dyDescent="0.35">
      <c r="A21" s="361" t="s">
        <v>16</v>
      </c>
      <c r="B21" s="362">
        <f>'BS WS'!B26</f>
        <v>0</v>
      </c>
      <c r="C21" s="336">
        <f>'BS WS'!E26</f>
        <v>0</v>
      </c>
      <c r="D21" s="336">
        <f>ROUND('BS WS'!G26,-3)</f>
        <v>0</v>
      </c>
    </row>
    <row r="22" spans="1:6" ht="21.75" x14ac:dyDescent="0.35">
      <c r="A22" s="361" t="s">
        <v>17</v>
      </c>
      <c r="B22" s="362">
        <f>'BS WS'!B27</f>
        <v>0</v>
      </c>
      <c r="C22" s="336">
        <f>'BS WS'!E27</f>
        <v>0</v>
      </c>
      <c r="D22" s="336">
        <f>ROUND('BS WS'!G27,-3)</f>
        <v>0</v>
      </c>
    </row>
    <row r="23" spans="1:6" ht="21.75" x14ac:dyDescent="0.35">
      <c r="A23" s="361" t="s">
        <v>18</v>
      </c>
      <c r="B23" s="362">
        <f>'BS WS'!B27</f>
        <v>0</v>
      </c>
      <c r="C23" s="336">
        <f>'BS WS'!E28</f>
        <v>0</v>
      </c>
      <c r="D23" s="336">
        <f>ROUND('BS WS'!G28,-3)</f>
        <v>0</v>
      </c>
    </row>
    <row r="24" spans="1:6" s="142" customFormat="1" ht="23.25" x14ac:dyDescent="0.25">
      <c r="A24" s="365" t="s">
        <v>38</v>
      </c>
      <c r="B24" s="366">
        <f t="shared" ref="B24:D24" si="1">SUM(B17:B23)</f>
        <v>0</v>
      </c>
      <c r="C24" s="366">
        <f t="shared" si="1"/>
        <v>0</v>
      </c>
      <c r="D24" s="366">
        <f t="shared" si="1"/>
        <v>0</v>
      </c>
    </row>
    <row r="25" spans="1:6" x14ac:dyDescent="0.25">
      <c r="A25" s="367"/>
      <c r="B25" s="367"/>
      <c r="C25" s="367"/>
      <c r="D25" s="367"/>
    </row>
    <row r="26" spans="1:6" x14ac:dyDescent="0.25">
      <c r="A26" s="367"/>
      <c r="B26" s="368">
        <f>B24-B15</f>
        <v>0</v>
      </c>
      <c r="C26" s="368">
        <f t="shared" ref="C26:D26" si="2">C24-C15</f>
        <v>0</v>
      </c>
      <c r="D26" s="368">
        <f t="shared" si="2"/>
        <v>0</v>
      </c>
    </row>
    <row r="27" spans="1:6" ht="17.25" x14ac:dyDescent="0.35">
      <c r="A27" s="2" t="s">
        <v>569</v>
      </c>
      <c r="C27" s="371">
        <f>C9</f>
        <v>0</v>
      </c>
      <c r="D27" s="371">
        <f>D9</f>
        <v>0</v>
      </c>
    </row>
    <row r="28" spans="1:6" ht="17.25" x14ac:dyDescent="0.35">
      <c r="A28" s="2" t="s">
        <v>570</v>
      </c>
      <c r="C28" s="372"/>
      <c r="D28" s="371">
        <f>D27-C27</f>
        <v>0</v>
      </c>
    </row>
    <row r="29" spans="1:6" ht="17.25" x14ac:dyDescent="0.35">
      <c r="C29" s="372"/>
      <c r="D29" s="372"/>
    </row>
    <row r="30" spans="1:6" ht="17.25" x14ac:dyDescent="0.35">
      <c r="A30" s="2" t="s">
        <v>571</v>
      </c>
      <c r="C30" s="371">
        <f>C7</f>
        <v>0</v>
      </c>
      <c r="D30" s="371">
        <f>D7</f>
        <v>0</v>
      </c>
    </row>
    <row r="31" spans="1:6" ht="17.25" x14ac:dyDescent="0.35">
      <c r="A31" s="2" t="s">
        <v>570</v>
      </c>
      <c r="C31" s="372"/>
      <c r="D31" s="371">
        <f>D30-C30</f>
        <v>0</v>
      </c>
    </row>
    <row r="32" spans="1:6" ht="17.25" x14ac:dyDescent="0.35">
      <c r="A32" s="2" t="s">
        <v>572</v>
      </c>
      <c r="C32" s="371">
        <f>C24</f>
        <v>0</v>
      </c>
      <c r="D32" s="371">
        <f>D24</f>
        <v>0</v>
      </c>
    </row>
    <row r="33" spans="1:4" ht="17.25" x14ac:dyDescent="0.35">
      <c r="A33" s="2" t="s">
        <v>570</v>
      </c>
      <c r="C33" s="372"/>
      <c r="D33" s="371">
        <f>D32-C32</f>
        <v>0</v>
      </c>
    </row>
    <row r="34" spans="1:4" ht="17.25" x14ac:dyDescent="0.35">
      <c r="A34" s="2" t="s">
        <v>573</v>
      </c>
      <c r="C34" s="371">
        <f>C20</f>
        <v>0</v>
      </c>
      <c r="D34" s="371">
        <f>D20</f>
        <v>0</v>
      </c>
    </row>
    <row r="35" spans="1:4" ht="17.25" x14ac:dyDescent="0.35">
      <c r="A35" s="2" t="s">
        <v>570</v>
      </c>
      <c r="C35" s="372"/>
      <c r="D35" s="371">
        <f>D34-C34</f>
        <v>0</v>
      </c>
    </row>
  </sheetData>
  <sheetProtection formatCells="0" formatColumns="0" formatRows="0" insertColumns="0" insertRows="0"/>
  <mergeCells count="4">
    <mergeCell ref="A1:D1"/>
    <mergeCell ref="A2:D2"/>
    <mergeCell ref="A3:D3"/>
    <mergeCell ref="A4:D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53</vt:i4>
      </vt:variant>
      <vt:variant>
        <vt:lpstr>Named Ranges</vt:lpstr>
      </vt:variant>
      <vt:variant>
        <vt:i4>1</vt:i4>
      </vt:variant>
    </vt:vector>
  </HeadingPairs>
  <TitlesOfParts>
    <vt:vector size="54" baseType="lpstr">
      <vt:lpstr>Hyperlink</vt:lpstr>
      <vt:lpstr>Home</vt:lpstr>
      <vt:lpstr>Member Projection sheet </vt:lpstr>
      <vt:lpstr>BS WS</vt:lpstr>
      <vt:lpstr>Loan Aging WS</vt:lpstr>
      <vt:lpstr>Saving Details WS</vt:lpstr>
      <vt:lpstr>FA Details  WS</vt:lpstr>
      <vt:lpstr>Exp Summary</vt:lpstr>
      <vt:lpstr>Final BS</vt:lpstr>
      <vt:lpstr>Income Summary</vt:lpstr>
      <vt:lpstr>Final PL</vt:lpstr>
      <vt:lpstr>PL Appropiation</vt:lpstr>
      <vt:lpstr>Final PEARLS</vt:lpstr>
      <vt:lpstr>150.3.1.1</vt:lpstr>
      <vt:lpstr>150.3.1.2</vt:lpstr>
      <vt:lpstr>150.3.1.3</vt:lpstr>
      <vt:lpstr>150.3.1.4</vt:lpstr>
      <vt:lpstr>150.3.1.5</vt:lpstr>
      <vt:lpstr>150.3.1.6</vt:lpstr>
      <vt:lpstr>150.3.1.7</vt:lpstr>
      <vt:lpstr>150.3.1.8</vt:lpstr>
      <vt:lpstr>150.3.1.9</vt:lpstr>
      <vt:lpstr>150.3.1.10</vt:lpstr>
      <vt:lpstr>150.3.1.11</vt:lpstr>
      <vt:lpstr>150.3.1.12</vt:lpstr>
      <vt:lpstr>150.3.1.13</vt:lpstr>
      <vt:lpstr>150.3.1.14</vt:lpstr>
      <vt:lpstr>150.3.1.15</vt:lpstr>
      <vt:lpstr>150.3.1.16</vt:lpstr>
      <vt:lpstr>150.3.1.17</vt:lpstr>
      <vt:lpstr>150.3.1.18</vt:lpstr>
      <vt:lpstr>150.3.1.19</vt:lpstr>
      <vt:lpstr>150.3.1.20</vt:lpstr>
      <vt:lpstr>150.3.1.21</vt:lpstr>
      <vt:lpstr>150.3.1.22</vt:lpstr>
      <vt:lpstr>150.3.1.23</vt:lpstr>
      <vt:lpstr>150.3.1.24</vt:lpstr>
      <vt:lpstr>150.3.1.25</vt:lpstr>
      <vt:lpstr>150.3.1.26</vt:lpstr>
      <vt:lpstr>150.3.1.27</vt:lpstr>
      <vt:lpstr>150.3.1.28</vt:lpstr>
      <vt:lpstr>150.3.1.29</vt:lpstr>
      <vt:lpstr>150.3.1.30</vt:lpstr>
      <vt:lpstr>150.3.1.31</vt:lpstr>
      <vt:lpstr>150.3.1.32</vt:lpstr>
      <vt:lpstr>150.3.2.1</vt:lpstr>
      <vt:lpstr>150.3.2.2</vt:lpstr>
      <vt:lpstr>150.3.3</vt:lpstr>
      <vt:lpstr>160.1</vt:lpstr>
      <vt:lpstr>160.3</vt:lpstr>
      <vt:lpstr>160.4</vt:lpstr>
      <vt:lpstr>160.5</vt:lpstr>
      <vt:lpstr>160.6</vt:lpstr>
      <vt:lpstr>'Final PL'!Print_Area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Robert</cp:lastModifiedBy>
  <cp:lastPrinted>2024-04-26T09:29:51Z</cp:lastPrinted>
  <dcterms:created xsi:type="dcterms:W3CDTF">2019-12-05T00:05:44Z</dcterms:created>
  <dcterms:modified xsi:type="dcterms:W3CDTF">2025-07-03T11:14:51Z</dcterms:modified>
  <cp:contentStatus/>
</cp:coreProperties>
</file>